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erica/Desktop/"/>
    </mc:Choice>
  </mc:AlternateContent>
  <xr:revisionPtr revIDLastSave="0" documentId="13_ncr:1_{468165EE-578E-7743-B024-E0220F61B5D3}" xr6:coauthVersionLast="47" xr6:coauthVersionMax="47" xr10:uidLastSave="{00000000-0000-0000-0000-000000000000}"/>
  <bookViews>
    <workbookView xWindow="0" yWindow="760" windowWidth="30240" windowHeight="17680" xr2:uid="{F99552AD-1B81-4690-BA78-5266032FB0A8}"/>
  </bookViews>
  <sheets>
    <sheet name="Feedlot cattle enteric calc" sheetId="1" r:id="rId1"/>
    <sheet name="Defaults and Options" sheetId="3" r:id="rId2"/>
  </sheets>
  <definedNames>
    <definedName name="_xlnm.Print_Area" localSheetId="0">'Feedlot cattle enteric calc'!$A$1:$L$57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H41" i="3"/>
  <c r="G41" i="3"/>
  <c r="D48" i="1"/>
  <c r="D49" i="1" s="1"/>
  <c r="G29" i="1"/>
  <c r="G48" i="1" s="1"/>
  <c r="G31" i="1"/>
  <c r="D29" i="1"/>
  <c r="G49" i="1" l="1"/>
  <c r="G43" i="1"/>
  <c r="G36" i="1"/>
  <c r="C32" i="3"/>
  <c r="C31" i="3"/>
  <c r="G27" i="1" l="1"/>
  <c r="D41" i="1" l="1"/>
  <c r="D34" i="1"/>
  <c r="D35" i="1" s="1"/>
  <c r="G34" i="1"/>
  <c r="G35" i="1" s="1"/>
  <c r="G41" i="1"/>
  <c r="D31" i="1"/>
  <c r="J28" i="1" l="1"/>
  <c r="D39" i="1"/>
  <c r="G38" i="1"/>
  <c r="G37" i="1"/>
  <c r="G39" i="1" s="1"/>
  <c r="G30" i="1"/>
  <c r="G50" i="1" s="1"/>
  <c r="J29" i="1" l="1"/>
  <c r="D32" i="1"/>
  <c r="G42" i="1" l="1"/>
  <c r="G44" i="1" s="1"/>
  <c r="J34" i="1" s="1"/>
  <c r="D42" i="1" l="1"/>
  <c r="G32" i="1"/>
  <c r="D30" i="1"/>
  <c r="D50" i="1" s="1"/>
  <c r="J47" i="1" s="1"/>
  <c r="J33" i="1" l="1"/>
  <c r="D44" i="1"/>
  <c r="G45" i="1"/>
  <c r="G51" i="1" s="1"/>
  <c r="G52" i="1" s="1"/>
  <c r="J48" i="1" s="1"/>
  <c r="G54" i="1" l="1"/>
  <c r="G46" i="1"/>
</calcChain>
</file>

<file path=xl/sharedStrings.xml><?xml version="1.0" encoding="utf-8"?>
<sst xmlns="http://schemas.openxmlformats.org/spreadsheetml/2006/main" count="163" uniqueCount="132">
  <si>
    <t>Colorado State University</t>
  </si>
  <si>
    <t>AgNext Feed Additive Calculator Tool (FACT) for Beef</t>
  </si>
  <si>
    <t>File Name:</t>
  </si>
  <si>
    <t>Notes:</t>
  </si>
  <si>
    <t>Feed Additive Name:</t>
  </si>
  <si>
    <t>Date:</t>
  </si>
  <si>
    <t>Inputs</t>
  </si>
  <si>
    <t>Ration</t>
  </si>
  <si>
    <t>Performance</t>
  </si>
  <si>
    <t>Feed Additive</t>
  </si>
  <si>
    <t>Mean feed intake over finishing period, 
pounds dry matter / head / day, (lb DM / hd / d)</t>
  </si>
  <si>
    <t xml:space="preserve">Body weight starting the finishing period, live weight lbs. </t>
  </si>
  <si>
    <r>
      <t xml:space="preserve">Estimated impact on methane production, % difference from baseline
</t>
    </r>
    <r>
      <rPr>
        <sz val="8"/>
        <color theme="1"/>
        <rFont val="Arial"/>
        <family val="2"/>
      </rPr>
      <t>If an additive reduces enteric methane production, the value should be negative here</t>
    </r>
  </si>
  <si>
    <t>Days on feed, days, (d)</t>
  </si>
  <si>
    <t>Average daily gain, lbs. live weight / day, (lb / d)</t>
  </si>
  <si>
    <r>
      <t xml:space="preserve">Estimated impact on ADG, % difference from baseline
</t>
    </r>
    <r>
      <rPr>
        <sz val="8"/>
        <color theme="1"/>
        <rFont val="Arial"/>
        <family val="2"/>
      </rPr>
      <t>Estimated impact (positive, negative, or neutral) on average daily liveweight gain in % relative to not feeding the feed additive.</t>
    </r>
  </si>
  <si>
    <t>Ionophore in diet
Baseline diet assumes ionophore in ration</t>
  </si>
  <si>
    <t>Yes</t>
  </si>
  <si>
    <t>Costs</t>
  </si>
  <si>
    <r>
      <t xml:space="preserve">Estimated impact on dry matter feed intake, % difference from baseline
</t>
    </r>
    <r>
      <rPr>
        <sz val="8"/>
        <color theme="1"/>
        <rFont val="Arial"/>
        <family val="2"/>
      </rPr>
      <t>Estimated impact on dry matter intake of finishing cattle (neutral, increase, or decrease) in % relative to not feeding the feed additive</t>
    </r>
  </si>
  <si>
    <r>
      <t xml:space="preserve">Total fat content on dry matter basis, (%) 
</t>
    </r>
    <r>
      <rPr>
        <sz val="8"/>
        <color theme="1"/>
        <rFont val="Arial"/>
        <family val="2"/>
        <scheme val="major"/>
      </rPr>
      <t>The baseline diet assumes 3% fat, select the total fat percentage up to a maximum total fat of  6%.</t>
    </r>
  </si>
  <si>
    <t>3% fat</t>
  </si>
  <si>
    <t>Diet cost, dollars / imperial ton dry matter, ($ / ton)</t>
  </si>
  <si>
    <r>
      <t xml:space="preserve">Additive costs, $ / hd / d
</t>
    </r>
    <r>
      <rPr>
        <sz val="8"/>
        <color theme="1"/>
        <rFont val="Arial"/>
        <family val="2"/>
      </rPr>
      <t>Enter in an estimate of how much the feed additive costs.
$ / head / day</t>
    </r>
  </si>
  <si>
    <t>Primary grain in ration</t>
  </si>
  <si>
    <t>corn - unprocessed / dry rolled</t>
  </si>
  <si>
    <t>Incoming calf price, dollars / hundred weight, ($ / cwt)</t>
  </si>
  <si>
    <r>
      <t>Carbon price, $ / metric ton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e abated, ($ / tonne)
</t>
    </r>
    <r>
      <rPr>
        <sz val="8"/>
        <color theme="1"/>
        <rFont val="Arial"/>
        <family val="2"/>
      </rPr>
      <t>Enter in the assumed carbon price received for enteric methane emission reductions, expressed as USD per metric ton (1000 kg) of carbon dioxide equivalents (CO2e) abated.</t>
    </r>
  </si>
  <si>
    <r>
      <t xml:space="preserve">Percent grain in ration, (%)
</t>
    </r>
    <r>
      <rPr>
        <sz val="8"/>
        <color theme="1"/>
        <rFont val="Arial"/>
        <family val="2"/>
        <scheme val="major"/>
      </rPr>
      <t>The baseline diet assumes a default 7.5% vitamin and mineral content. The remaining portion is assumed to be forage.</t>
    </r>
  </si>
  <si>
    <t>Outgoing animal price, $ / cwt</t>
  </si>
  <si>
    <t>Helpful Links</t>
  </si>
  <si>
    <t>Vet med costs, $ / hd</t>
  </si>
  <si>
    <t>To read more about carbon markets follow this link to the AgNEXT carbon markets blog:</t>
  </si>
  <si>
    <t>agnext.colostate.edu/carbon-markets</t>
  </si>
  <si>
    <t>Labor / yardage / etc costs, $ / hd / d</t>
  </si>
  <si>
    <t>The following external resource (not maintained by AgNext) can be used to understand current carbon prices in different markets</t>
  </si>
  <si>
    <t>carboncredits.com</t>
  </si>
  <si>
    <t>Outputs</t>
  </si>
  <si>
    <t>Baseline Scenario</t>
  </si>
  <si>
    <t>Feed Additive Scenario</t>
  </si>
  <si>
    <r>
      <rPr>
        <sz val="10"/>
        <color theme="1"/>
        <rFont val="Arial"/>
        <family val="2"/>
      </rPr>
      <t>Final Ym for baseline, %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Ym is the % of consummed gross energy lost as methane emissions</t>
    </r>
  </si>
  <si>
    <r>
      <rPr>
        <sz val="10"/>
        <color theme="1"/>
        <rFont val="Arial"/>
        <family val="2"/>
      </rPr>
      <t>Final Ym for feed additive, %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Ym is the % of consummed gross energy lost as methane emissions</t>
    </r>
  </si>
  <si>
    <t>Animal Performance</t>
  </si>
  <si>
    <t>Baseline</t>
  </si>
  <si>
    <t>Mean feed intake over period, lb DM / d</t>
  </si>
  <si>
    <t>Additive</t>
  </si>
  <si>
    <t>Final live weight, lb</t>
  </si>
  <si>
    <t>Average daily gain, lb / d</t>
  </si>
  <si>
    <t>Average feed conversion</t>
  </si>
  <si>
    <t>Enteric emissions, imperial units</t>
  </si>
  <si>
    <r>
      <t>Daily methane emissions, lb CH</t>
    </r>
    <r>
      <rPr>
        <vertAlign val="subscript"/>
        <sz val="10"/>
        <color theme="1"/>
        <rFont val="Arial"/>
        <family val="2"/>
      </rPr>
      <t xml:space="preserve">4 </t>
    </r>
    <r>
      <rPr>
        <sz val="10"/>
        <color theme="1"/>
        <rFont val="Arial"/>
        <family val="2"/>
      </rPr>
      <t>/ hd / d</t>
    </r>
  </si>
  <si>
    <r>
      <t>Enteric methane, lb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hd</t>
    </r>
  </si>
  <si>
    <t>Feed additive production emissions, lb CO2e / hd</t>
  </si>
  <si>
    <t>N/A</t>
  </si>
  <si>
    <r>
      <t>Feed additive production emissions, lb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hd</t>
    </r>
  </si>
  <si>
    <t>Total emissions, lb CO2e / hd</t>
  </si>
  <si>
    <r>
      <t>Total emissions, lb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hd</t>
    </r>
  </si>
  <si>
    <r>
      <t>Total reduced emissions, lb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hd</t>
    </r>
  </si>
  <si>
    <r>
      <t>Average daily gain, lb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lb gain</t>
    </r>
  </si>
  <si>
    <r>
      <t>Average daily gain, feed additive scenario,
 lb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lb gain</t>
    </r>
  </si>
  <si>
    <t>Enteric emissions, metric units</t>
  </si>
  <si>
    <t>Daily methane emissions, g CH4 / hd / d</t>
  </si>
  <si>
    <r>
      <t>Daily methane emissions, g 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/ hd / d</t>
    </r>
  </si>
  <si>
    <r>
      <t>Enteric methane, kg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hd</t>
    </r>
  </si>
  <si>
    <r>
      <t>Feed additive enteric methane, kg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hd</t>
    </r>
  </si>
  <si>
    <t>Feed additive production emissions, kg CO2e / hd</t>
  </si>
  <si>
    <r>
      <t>Feed additive production emissions, kg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hd</t>
    </r>
  </si>
  <si>
    <t>Total emissions, kg CO2e / hd</t>
  </si>
  <si>
    <r>
      <t>Total emissions, kg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hd</t>
    </r>
  </si>
  <si>
    <r>
      <t>Total reduced emissions, kg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 / hd</t>
    </r>
  </si>
  <si>
    <t>Total reduced emissions, metric ton (tonne) / hd</t>
  </si>
  <si>
    <t>Financial outcomes</t>
  </si>
  <si>
    <t>Total feed cost, $ / hd</t>
  </si>
  <si>
    <t>Total feed costs (with additive), $ / hd</t>
  </si>
  <si>
    <t>Total feed cost, $ / lb live weight gain</t>
  </si>
  <si>
    <t>Gross margin (cash basis), $ / hd</t>
  </si>
  <si>
    <t>Gross margin (cash basis, no carbon value), $ / hd</t>
  </si>
  <si>
    <t xml:space="preserve">Carbon value per head, $ / hd  </t>
  </si>
  <si>
    <t>Gross margin (cash basis with carbon value), $ / hd</t>
  </si>
  <si>
    <t>(Feed additive scenario) - (Baseline scenario) gross margin, $ / hd difference</t>
  </si>
  <si>
    <t>a negative value would indicate that the additive scenario is not economically beneficial</t>
  </si>
  <si>
    <t>Conversion factors and defaults</t>
  </si>
  <si>
    <t>Conversions</t>
  </si>
  <si>
    <t>lbs. per kg</t>
  </si>
  <si>
    <t>Mcal to MJ</t>
  </si>
  <si>
    <t>Feedlot cattle Ym default</t>
  </si>
  <si>
    <t>Gross energy content of feedlot diet, MJ/kg DM</t>
  </si>
  <si>
    <t>Grams per kg and kg per metric ton</t>
  </si>
  <si>
    <t>lbs per cwt</t>
  </si>
  <si>
    <t>lbs per imperial ton</t>
  </si>
  <si>
    <t>MJ of energy to mass conversion for methane</t>
  </si>
  <si>
    <t>AR5</t>
  </si>
  <si>
    <t>GWP100 value for methane</t>
  </si>
  <si>
    <t>Assumptions</t>
  </si>
  <si>
    <t>Additive inclusion rate, lb/ lb DM</t>
  </si>
  <si>
    <t>Emission Factor for additive, lb CO2e / lb active ingredient</t>
  </si>
  <si>
    <t>Ionophore</t>
  </si>
  <si>
    <t>No</t>
  </si>
  <si>
    <t>Supplemented fat</t>
  </si>
  <si>
    <t>4% fat</t>
  </si>
  <si>
    <t>5% fat</t>
  </si>
  <si>
    <t>6% or higher fat content</t>
  </si>
  <si>
    <t>Starch:Forage Ym constants</t>
  </si>
  <si>
    <t>intercept</t>
  </si>
  <si>
    <t>unit change for starch:NDF ratio</t>
  </si>
  <si>
    <t>Default forage</t>
  </si>
  <si>
    <t>Starch in generic forage/byproduct, %</t>
  </si>
  <si>
    <t>NDF in generic forage/byproduct, %</t>
  </si>
  <si>
    <t>default min and vitamin %</t>
  </si>
  <si>
    <t>Grain Options</t>
  </si>
  <si>
    <t>Feed</t>
  </si>
  <si>
    <t>Starch % DM</t>
  </si>
  <si>
    <t>NDF % DM</t>
  </si>
  <si>
    <t>change to Ym</t>
  </si>
  <si>
    <t>Default proportion of forage</t>
  </si>
  <si>
    <t>Starch proportion</t>
  </si>
  <si>
    <t>NDF proportion</t>
  </si>
  <si>
    <t>Alfalfa hay</t>
  </si>
  <si>
    <t>Source:  USDA. 2023. Executive Summary. In Updates to Quantifying Greenhouse Gas Fluxes in Agriculture and Forestry: Methods for Entity-Scale Inventory. Technical Bulletin Number xxxx. Office of the Chief Economist, U.S. Department of Agriculture, Washington, DC. xxx pages. XXX, 2023.</t>
  </si>
  <si>
    <t>Corn silage</t>
  </si>
  <si>
    <t>Native prairie hay</t>
  </si>
  <si>
    <t>DDGS</t>
  </si>
  <si>
    <t>Total</t>
  </si>
  <si>
    <t>corn - high moisture</t>
  </si>
  <si>
    <t>corn - steam-flaked</t>
  </si>
  <si>
    <t>wheat - unprocessed / dry rolled</t>
  </si>
  <si>
    <t>wheat - steam-flaked</t>
  </si>
  <si>
    <t>barley - unprocessed / dry rolled</t>
  </si>
  <si>
    <t>barley - steam-flaked</t>
  </si>
  <si>
    <t>sorghum -  steamflaked / high moisture</t>
  </si>
  <si>
    <t>sorghum - unprocessed / dry rolled</t>
  </si>
  <si>
    <t>Last updated on February 12nd,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</si>
</sst>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.000"/>
    <numFmt numFmtId="165" formatCode="0.000000"/>
    <numFmt numFmtId="166" formatCode="0.0"/>
    <numFmt numFmtId="167" formatCode="&quot;$&quot;#,##0.00"/>
  </numFmts>
  <fonts count="51"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sz val="11"/>
      <color theme="1"/>
      <name val="Arial"/>
      <family val="2"/>
    </font>
    <font>
      <b/>
      <sz val="14"/>
      <color rgb="FF114827"/>
      <name val="Arial"/>
      <family val="2"/>
    </font>
    <font>
      <b/>
      <sz val="11"/>
      <color rgb="FF3F3F3F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  <font>
      <sz val="10"/>
      <color theme="1"/>
      <name val="Arial"/>
      <family val="2"/>
    </font>
    <font>
      <sz val="18"/>
      <color theme="1"/>
      <name val="Proxima Nova"/>
    </font>
    <font>
      <b/>
      <sz val="12"/>
      <color theme="1"/>
      <name val="Arial"/>
      <family val="2"/>
    </font>
    <font>
      <sz val="12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20"/>
      <color theme="1"/>
      <name val="Proxima Nova Alt Rg"/>
      <family val="3"/>
    </font>
    <font>
      <sz val="16"/>
      <color theme="1"/>
      <name val="Arial"/>
      <family val="2"/>
    </font>
    <font>
      <b/>
      <sz val="11"/>
      <color theme="3"/>
      <name val="Arial"/>
      <family val="2"/>
    </font>
    <font>
      <sz val="11"/>
      <color theme="1"/>
      <name val="Proxima Nova"/>
    </font>
    <font>
      <sz val="10"/>
      <color rgb="FF0000FF"/>
      <name val="Arial"/>
      <family val="2"/>
    </font>
    <font>
      <sz val="10"/>
      <color theme="1"/>
      <name val="Arial"/>
      <family val="2"/>
      <scheme val="minor"/>
    </font>
    <font>
      <sz val="8"/>
      <color theme="1"/>
      <name val="Arial"/>
      <family val="2"/>
    </font>
    <font>
      <b/>
      <sz val="12"/>
      <color rgb="FF3F3F3F"/>
      <name val="Arial"/>
      <family val="2"/>
    </font>
    <font>
      <b/>
      <sz val="12"/>
      <color theme="3"/>
      <name val="Arial"/>
      <family val="2"/>
      <scheme val="minor"/>
    </font>
    <font>
      <b/>
      <sz val="11"/>
      <color rgb="FF114827"/>
      <name val="Arial"/>
      <family val="2"/>
    </font>
    <font>
      <sz val="11"/>
      <color rgb="FF0000FF"/>
      <name val="Arial"/>
      <family val="2"/>
    </font>
    <font>
      <b/>
      <sz val="12"/>
      <color rgb="FF114827"/>
      <name val="Arial"/>
      <family val="2"/>
    </font>
    <font>
      <sz val="14"/>
      <color theme="1"/>
      <name val="Arial"/>
      <family val="2"/>
    </font>
    <font>
      <b/>
      <sz val="11"/>
      <color rgb="FF004C23"/>
      <name val="Arial"/>
      <family val="2"/>
    </font>
    <font>
      <sz val="11"/>
      <color theme="1"/>
      <name val="Arial"/>
      <family val="2"/>
      <scheme val="minor"/>
    </font>
    <font>
      <b/>
      <sz val="18"/>
      <color rgb="FF004C23"/>
      <name val="Arial"/>
      <family val="2"/>
    </font>
    <font>
      <vertAlign val="subscript"/>
      <sz val="10"/>
      <color theme="1"/>
      <name val="Arial"/>
      <family val="2"/>
    </font>
    <font>
      <sz val="10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sz val="11"/>
      <color rgb="FF0000FF"/>
      <name val="Arial"/>
      <family val="2"/>
      <scheme val="major"/>
    </font>
    <font>
      <sz val="11"/>
      <color theme="1"/>
      <name val="Arial"/>
      <family val="2"/>
      <scheme val="major"/>
    </font>
    <font>
      <u/>
      <sz val="11"/>
      <color theme="10"/>
      <name val="Arial"/>
      <family val="2"/>
      <scheme val="minor"/>
    </font>
    <font>
      <b/>
      <sz val="12"/>
      <color rgb="FF004C23"/>
      <name val="Arial"/>
      <family val="2"/>
    </font>
    <font>
      <u/>
      <sz val="11"/>
      <color rgb="FF0000FF"/>
      <name val="Arial"/>
      <family val="2"/>
      <scheme val="minor"/>
    </font>
    <font>
      <sz val="11"/>
      <name val="Arial"/>
      <family val="2"/>
      <scheme val="minor"/>
    </font>
    <font>
      <b/>
      <sz val="12"/>
      <color theme="5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2"/>
      <color theme="1" tint="0.249977111117893"/>
      <name val="Arial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28"/>
      <color rgb="FF114827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114827"/>
      </bottom>
      <diagonal/>
    </border>
    <border>
      <left/>
      <right/>
      <top/>
      <bottom style="medium">
        <color rgb="FF114827"/>
      </bottom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114827"/>
      </bottom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114827"/>
      </bottom>
      <diagonal/>
    </border>
    <border>
      <left style="medium">
        <color rgb="FF114827"/>
      </left>
      <right/>
      <top style="medium">
        <color rgb="FF114827"/>
      </top>
      <bottom/>
      <diagonal/>
    </border>
    <border>
      <left/>
      <right/>
      <top style="medium">
        <color rgb="FF114827"/>
      </top>
      <bottom/>
      <diagonal/>
    </border>
    <border>
      <left/>
      <right style="medium">
        <color rgb="FF114827"/>
      </right>
      <top style="medium">
        <color rgb="FF114827"/>
      </top>
      <bottom/>
      <diagonal/>
    </border>
    <border>
      <left style="medium">
        <color rgb="FF114827"/>
      </left>
      <right/>
      <top/>
      <bottom/>
      <diagonal/>
    </border>
    <border>
      <left/>
      <right style="medium">
        <color rgb="FF114827"/>
      </right>
      <top/>
      <bottom/>
      <diagonal/>
    </border>
    <border>
      <left style="medium">
        <color rgb="FF114827"/>
      </left>
      <right/>
      <top/>
      <bottom style="medium">
        <color rgb="FF114827"/>
      </bottom>
      <diagonal/>
    </border>
    <border>
      <left/>
      <right style="medium">
        <color rgb="FF114827"/>
      </right>
      <top/>
      <bottom style="medium">
        <color rgb="FF114827"/>
      </bottom>
      <diagonal/>
    </border>
    <border>
      <left/>
      <right/>
      <top style="thin">
        <color indexed="64"/>
      </top>
      <bottom style="medium">
        <color rgb="FF114827"/>
      </bottom>
      <diagonal/>
    </border>
    <border>
      <left/>
      <right/>
      <top style="medium">
        <color rgb="FF114827"/>
      </top>
      <bottom style="thin">
        <color indexed="64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9" fontId="30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85">
    <xf numFmtId="0" fontId="0" fillId="0" borderId="0" xfId="0"/>
    <xf numFmtId="0" fontId="6" fillId="0" borderId="0" xfId="0" applyFont="1"/>
    <xf numFmtId="2" fontId="6" fillId="0" borderId="0" xfId="0" applyNumberFormat="1" applyFont="1"/>
    <xf numFmtId="0" fontId="6" fillId="0" borderId="10" xfId="0" applyFont="1" applyBorder="1"/>
    <xf numFmtId="0" fontId="6" fillId="0" borderId="0" xfId="0" applyFont="1" applyAlignment="1">
      <alignment vertical="top" wrapText="1"/>
    </xf>
    <xf numFmtId="0" fontId="6" fillId="0" borderId="17" xfId="0" applyFont="1" applyBorder="1"/>
    <xf numFmtId="0" fontId="18" fillId="0" borderId="18" xfId="1" applyFont="1" applyBorder="1"/>
    <xf numFmtId="0" fontId="6" fillId="0" borderId="18" xfId="0" applyFont="1" applyBorder="1"/>
    <xf numFmtId="0" fontId="6" fillId="0" borderId="0" xfId="0" applyFont="1" applyAlignment="1">
      <alignment horizontal="right"/>
    </xf>
    <xf numFmtId="165" fontId="6" fillId="0" borderId="0" xfId="0" applyNumberFormat="1" applyFont="1"/>
    <xf numFmtId="0" fontId="30" fillId="0" borderId="0" xfId="0" applyFont="1"/>
    <xf numFmtId="0" fontId="6" fillId="0" borderId="10" xfId="0" applyFont="1" applyBorder="1" applyAlignment="1">
      <alignment horizontal="left" indent="1"/>
    </xf>
    <xf numFmtId="164" fontId="6" fillId="0" borderId="0" xfId="0" applyNumberFormat="1" applyFont="1"/>
    <xf numFmtId="2" fontId="30" fillId="0" borderId="0" xfId="0" applyNumberFormat="1" applyFont="1"/>
    <xf numFmtId="0" fontId="18" fillId="0" borderId="0" xfId="5" applyFont="1" applyBorder="1"/>
    <xf numFmtId="0" fontId="6" fillId="0" borderId="0" xfId="0" applyFont="1" applyAlignment="1">
      <alignment vertical="top"/>
    </xf>
    <xf numFmtId="0" fontId="0" fillId="3" borderId="0" xfId="0" applyFill="1"/>
    <xf numFmtId="0" fontId="0" fillId="5" borderId="0" xfId="0" applyFill="1"/>
    <xf numFmtId="0" fontId="17" fillId="3" borderId="0" xfId="0" applyFont="1" applyFill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25" fillId="3" borderId="0" xfId="2" applyFont="1" applyFill="1" applyBorder="1" applyAlignment="1" applyProtection="1">
      <alignment horizontal="right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38" fillId="3" borderId="31" xfId="2" applyFont="1" applyFill="1" applyBorder="1" applyProtection="1"/>
    <xf numFmtId="0" fontId="11" fillId="3" borderId="31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left" wrapText="1"/>
    </xf>
    <xf numFmtId="0" fontId="0" fillId="3" borderId="31" xfId="0" applyFill="1" applyBorder="1"/>
    <xf numFmtId="0" fontId="0" fillId="3" borderId="25" xfId="0" applyFill="1" applyBorder="1"/>
    <xf numFmtId="0" fontId="0" fillId="3" borderId="26" xfId="0" applyFill="1" applyBorder="1"/>
    <xf numFmtId="0" fontId="33" fillId="3" borderId="11" xfId="0" applyFont="1" applyFill="1" applyBorder="1" applyAlignment="1">
      <alignment vertical="center" wrapText="1"/>
    </xf>
    <xf numFmtId="2" fontId="20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2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0" fillId="3" borderId="27" xfId="0" applyFill="1" applyBorder="1"/>
    <xf numFmtId="0" fontId="33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1" fillId="3" borderId="27" xfId="0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33" fillId="3" borderId="0" xfId="0" applyFont="1" applyFill="1" applyAlignment="1">
      <alignment vertical="center" wrapText="1"/>
    </xf>
    <xf numFmtId="0" fontId="27" fillId="3" borderId="10" xfId="0" applyFont="1" applyFill="1" applyBorder="1" applyAlignment="1">
      <alignment horizontal="left" wrapText="1"/>
    </xf>
    <xf numFmtId="0" fontId="21" fillId="3" borderId="10" xfId="0" applyFont="1" applyFill="1" applyBorder="1"/>
    <xf numFmtId="0" fontId="6" fillId="3" borderId="26" xfId="0" applyFont="1" applyFill="1" applyBorder="1" applyAlignment="1">
      <alignment horizontal="center" vertical="center" wrapText="1"/>
    </xf>
    <xf numFmtId="0" fontId="21" fillId="3" borderId="0" xfId="0" applyFont="1" applyFill="1"/>
    <xf numFmtId="0" fontId="20" fillId="3" borderId="0" xfId="0" applyFont="1" applyFill="1" applyAlignment="1">
      <alignment horizontal="center" vertical="center" wrapText="1"/>
    </xf>
    <xf numFmtId="8" fontId="20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wrapText="1"/>
    </xf>
    <xf numFmtId="8" fontId="20" fillId="3" borderId="0" xfId="0" applyNumberFormat="1" applyFont="1" applyFill="1" applyAlignment="1">
      <alignment vertical="center"/>
    </xf>
    <xf numFmtId="0" fontId="0" fillId="3" borderId="10" xfId="0" applyFill="1" applyBorder="1"/>
    <xf numFmtId="0" fontId="36" fillId="3" borderId="0" xfId="0" applyFont="1" applyFill="1" applyAlignment="1">
      <alignment horizontal="left" vertical="center" wrapText="1"/>
    </xf>
    <xf numFmtId="9" fontId="35" fillId="3" borderId="13" xfId="6" applyFont="1" applyFill="1" applyBorder="1" applyAlignment="1" applyProtection="1">
      <alignment horizontal="center" vertical="center" wrapText="1"/>
    </xf>
    <xf numFmtId="6" fontId="20" fillId="3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39" fillId="4" borderId="8" xfId="7" applyNumberFormat="1" applyFont="1" applyFill="1" applyBorder="1" applyAlignment="1" applyProtection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6" fontId="20" fillId="3" borderId="0" xfId="0" applyNumberFormat="1" applyFont="1" applyFill="1" applyAlignment="1">
      <alignment vertical="center"/>
    </xf>
    <xf numFmtId="0" fontId="19" fillId="3" borderId="26" xfId="0" applyFont="1" applyFill="1" applyBorder="1" applyAlignment="1">
      <alignment vertical="center" textRotation="255" wrapText="1"/>
    </xf>
    <xf numFmtId="0" fontId="21" fillId="3" borderId="0" xfId="0" applyFont="1" applyFill="1" applyAlignment="1">
      <alignment vertical="center" wrapText="1"/>
    </xf>
    <xf numFmtId="0" fontId="39" fillId="4" borderId="9" xfId="7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9" fillId="3" borderId="28" xfId="0" applyFont="1" applyFill="1" applyBorder="1" applyAlignment="1">
      <alignment horizontal="left" vertical="top" textRotation="255" wrapText="1"/>
    </xf>
    <xf numFmtId="0" fontId="21" fillId="3" borderId="18" xfId="0" applyFont="1" applyFill="1" applyBorder="1"/>
    <xf numFmtId="0" fontId="0" fillId="3" borderId="18" xfId="0" applyFill="1" applyBorder="1"/>
    <xf numFmtId="0" fontId="21" fillId="3" borderId="29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top" textRotation="255" wrapText="1"/>
    </xf>
    <xf numFmtId="0" fontId="21" fillId="3" borderId="0" xfId="0" applyFont="1" applyFill="1" applyAlignment="1">
      <alignment horizontal="center" vertical="center"/>
    </xf>
    <xf numFmtId="0" fontId="12" fillId="3" borderId="23" xfId="0" applyFont="1" applyFill="1" applyBorder="1" applyAlignment="1">
      <alignment vertical="center" textRotation="255" wrapText="1"/>
    </xf>
    <xf numFmtId="0" fontId="14" fillId="3" borderId="24" xfId="0" applyFont="1" applyFill="1" applyBorder="1"/>
    <xf numFmtId="0" fontId="7" fillId="3" borderId="24" xfId="2" applyFont="1" applyFill="1" applyBorder="1" applyProtection="1"/>
    <xf numFmtId="0" fontId="0" fillId="3" borderId="0" xfId="0" applyFill="1" applyAlignment="1">
      <alignment wrapText="1"/>
    </xf>
    <xf numFmtId="0" fontId="12" fillId="3" borderId="26" xfId="0" applyFont="1" applyFill="1" applyBorder="1" applyAlignment="1">
      <alignment vertical="center" textRotation="255" wrapText="1"/>
    </xf>
    <xf numFmtId="0" fontId="6" fillId="7" borderId="0" xfId="0" applyFont="1" applyFill="1" applyAlignment="1">
      <alignment horizontal="left" vertical="center" wrapText="1"/>
    </xf>
    <xf numFmtId="2" fontId="23" fillId="7" borderId="9" xfId="3" applyNumberFormat="1" applyFont="1" applyFill="1" applyBorder="1" applyAlignment="1" applyProtection="1">
      <alignment horizontal="center" vertical="center" wrapText="1"/>
    </xf>
    <xf numFmtId="0" fontId="14" fillId="3" borderId="0" xfId="0" applyFont="1" applyFill="1" applyAlignment="1">
      <alignment wrapText="1"/>
    </xf>
    <xf numFmtId="0" fontId="6" fillId="6" borderId="0" xfId="0" applyFont="1" applyFill="1" applyAlignment="1">
      <alignment vertical="center" wrapText="1"/>
    </xf>
    <xf numFmtId="2" fontId="23" fillId="6" borderId="9" xfId="3" applyNumberFormat="1" applyFont="1" applyFill="1" applyBorder="1" applyAlignment="1" applyProtection="1">
      <alignment horizontal="center" vertical="center" wrapText="1"/>
    </xf>
    <xf numFmtId="0" fontId="0" fillId="3" borderId="16" xfId="0" applyFill="1" applyBorder="1" applyAlignment="1">
      <alignment wrapText="1"/>
    </xf>
    <xf numFmtId="0" fontId="0" fillId="3" borderId="27" xfId="0" applyFill="1" applyBorder="1" applyAlignment="1">
      <alignment wrapText="1"/>
    </xf>
    <xf numFmtId="0" fontId="0" fillId="5" borderId="0" xfId="0" applyFill="1" applyAlignment="1">
      <alignment wrapText="1"/>
    </xf>
    <xf numFmtId="0" fontId="40" fillId="3" borderId="0" xfId="0" applyFont="1" applyFill="1"/>
    <xf numFmtId="166" fontId="40" fillId="3" borderId="0" xfId="0" applyNumberFormat="1" applyFont="1" applyFill="1" applyAlignment="1">
      <alignment wrapText="1"/>
    </xf>
    <xf numFmtId="0" fontId="11" fillId="7" borderId="0" xfId="0" applyFont="1" applyFill="1" applyAlignment="1">
      <alignment horizontal="left" vertical="center" wrapText="1"/>
    </xf>
    <xf numFmtId="2" fontId="23" fillId="7" borderId="6" xfId="3" applyNumberFormat="1" applyFont="1" applyFill="1" applyBorder="1" applyAlignment="1" applyProtection="1">
      <alignment horizontal="center" vertical="center" wrapText="1"/>
    </xf>
    <xf numFmtId="10" fontId="10" fillId="3" borderId="0" xfId="0" applyNumberFormat="1" applyFont="1" applyFill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2" fontId="23" fillId="6" borderId="6" xfId="3" applyNumberFormat="1" applyFont="1" applyFill="1" applyBorder="1" applyAlignment="1" applyProtection="1">
      <alignment horizontal="center" vertical="center" wrapText="1"/>
    </xf>
    <xf numFmtId="1" fontId="23" fillId="7" borderId="3" xfId="3" applyNumberFormat="1" applyFont="1" applyFill="1" applyAlignment="1" applyProtection="1">
      <alignment horizontal="center" vertical="center" wrapText="1"/>
    </xf>
    <xf numFmtId="1" fontId="23" fillId="6" borderId="3" xfId="3" applyNumberFormat="1" applyFont="1" applyFill="1" applyAlignment="1" applyProtection="1">
      <alignment horizontal="center" vertical="center" wrapText="1"/>
    </xf>
    <xf numFmtId="2" fontId="23" fillId="7" borderId="3" xfId="3" applyNumberFormat="1" applyFont="1" applyFill="1" applyAlignment="1" applyProtection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2" fontId="23" fillId="6" borderId="3" xfId="3" applyNumberFormat="1" applyFont="1" applyFill="1" applyAlignment="1" applyProtection="1">
      <alignment horizontal="center" vertical="center" wrapText="1"/>
    </xf>
    <xf numFmtId="0" fontId="40" fillId="3" borderId="0" xfId="0" applyFont="1" applyFill="1" applyAlignment="1">
      <alignment wrapText="1"/>
    </xf>
    <xf numFmtId="0" fontId="15" fillId="3" borderId="0" xfId="0" applyFont="1" applyFill="1"/>
    <xf numFmtId="164" fontId="23" fillId="7" borderId="6" xfId="3" applyNumberFormat="1" applyFont="1" applyFill="1" applyBorder="1" applyAlignment="1" applyProtection="1">
      <alignment horizontal="center" vertical="center" wrapText="1"/>
    </xf>
    <xf numFmtId="0" fontId="24" fillId="3" borderId="0" xfId="2" applyFont="1" applyFill="1" applyBorder="1" applyAlignment="1" applyProtection="1">
      <alignment wrapText="1"/>
    </xf>
    <xf numFmtId="164" fontId="23" fillId="6" borderId="6" xfId="3" applyNumberFormat="1" applyFont="1" applyFill="1" applyBorder="1" applyAlignment="1" applyProtection="1">
      <alignment horizontal="center" vertical="center" wrapText="1"/>
    </xf>
    <xf numFmtId="166" fontId="23" fillId="7" borderId="7" xfId="3" applyNumberFormat="1" applyFont="1" applyFill="1" applyBorder="1" applyAlignment="1" applyProtection="1">
      <alignment horizontal="center" vertical="center" wrapText="1"/>
    </xf>
    <xf numFmtId="9" fontId="10" fillId="3" borderId="0" xfId="0" applyNumberFormat="1" applyFont="1" applyFill="1" applyAlignment="1">
      <alignment horizontal="center" vertical="center" wrapText="1"/>
    </xf>
    <xf numFmtId="166" fontId="23" fillId="6" borderId="3" xfId="3" applyNumberFormat="1" applyFont="1" applyFill="1" applyAlignment="1" applyProtection="1">
      <alignment horizontal="center" vertical="center" wrapText="1"/>
    </xf>
    <xf numFmtId="0" fontId="46" fillId="7" borderId="0" xfId="2" applyFont="1" applyFill="1" applyBorder="1" applyAlignment="1" applyProtection="1">
      <alignment horizontal="left" vertical="center" wrapText="1"/>
    </xf>
    <xf numFmtId="166" fontId="23" fillId="7" borderId="8" xfId="3" applyNumberFormat="1" applyFont="1" applyFill="1" applyBorder="1" applyAlignment="1" applyProtection="1">
      <alignment horizontal="center" vertical="center" wrapText="1"/>
    </xf>
    <xf numFmtId="2" fontId="23" fillId="6" borderId="7" xfId="3" applyNumberFormat="1" applyFont="1" applyFill="1" applyBorder="1" applyAlignment="1" applyProtection="1">
      <alignment horizontal="center" vertical="center" wrapText="1"/>
    </xf>
    <xf numFmtId="0" fontId="46" fillId="7" borderId="0" xfId="2" applyFont="1" applyFill="1" applyBorder="1" applyAlignment="1" applyProtection="1">
      <alignment horizontal="left" vertical="center"/>
    </xf>
    <xf numFmtId="166" fontId="23" fillId="6" borderId="8" xfId="3" applyNumberFormat="1" applyFont="1" applyFill="1" applyBorder="1" applyAlignment="1" applyProtection="1">
      <alignment horizontal="center" vertical="center" wrapText="1"/>
    </xf>
    <xf numFmtId="0" fontId="11" fillId="7" borderId="0" xfId="0" applyFont="1" applyFill="1" applyAlignment="1">
      <alignment vertical="center" wrapText="1"/>
    </xf>
    <xf numFmtId="166" fontId="23" fillId="7" borderId="6" xfId="3" applyNumberFormat="1" applyFont="1" applyFill="1" applyBorder="1" applyAlignment="1" applyProtection="1">
      <alignment horizontal="center" vertical="center" wrapText="1"/>
    </xf>
    <xf numFmtId="166" fontId="23" fillId="6" borderId="6" xfId="3" applyNumberFormat="1" applyFont="1" applyFill="1" applyBorder="1" applyAlignment="1" applyProtection="1">
      <alignment horizontal="center" vertical="center" wrapText="1"/>
    </xf>
    <xf numFmtId="0" fontId="29" fillId="3" borderId="10" xfId="2" applyFont="1" applyFill="1" applyBorder="1" applyProtection="1"/>
    <xf numFmtId="2" fontId="23" fillId="7" borderId="8" xfId="3" applyNumberFormat="1" applyFont="1" applyFill="1" applyBorder="1" applyAlignment="1" applyProtection="1">
      <alignment horizontal="center" vertical="center" wrapText="1"/>
    </xf>
    <xf numFmtId="1" fontId="23" fillId="3" borderId="0" xfId="3" applyNumberFormat="1" applyFont="1" applyFill="1" applyBorder="1" applyAlignment="1" applyProtection="1">
      <alignment horizontal="center" wrapText="1"/>
    </xf>
    <xf numFmtId="164" fontId="23" fillId="3" borderId="0" xfId="3" applyNumberFormat="1" applyFont="1" applyFill="1" applyBorder="1" applyAlignment="1" applyProtection="1">
      <alignment horizontal="center" wrapText="1"/>
    </xf>
    <xf numFmtId="166" fontId="23" fillId="6" borderId="7" xfId="3" applyNumberFormat="1" applyFont="1" applyFill="1" applyBorder="1" applyAlignment="1" applyProtection="1">
      <alignment horizontal="center" vertical="center" wrapText="1"/>
    </xf>
    <xf numFmtId="0" fontId="0" fillId="7" borderId="0" xfId="0" applyFill="1" applyAlignment="1">
      <alignment vertical="center" wrapText="1"/>
    </xf>
    <xf numFmtId="166" fontId="45" fillId="7" borderId="8" xfId="0" applyNumberFormat="1" applyFont="1" applyFill="1" applyBorder="1" applyAlignment="1">
      <alignment horizontal="center" vertical="center" wrapText="1"/>
    </xf>
    <xf numFmtId="166" fontId="23" fillId="3" borderId="0" xfId="3" applyNumberFormat="1" applyFont="1" applyFill="1" applyBorder="1" applyAlignment="1" applyProtection="1">
      <alignment horizontal="center" wrapText="1"/>
    </xf>
    <xf numFmtId="0" fontId="11" fillId="7" borderId="19" xfId="0" applyFont="1" applyFill="1" applyBorder="1" applyAlignment="1">
      <alignment vertical="center" wrapText="1"/>
    </xf>
    <xf numFmtId="166" fontId="23" fillId="7" borderId="22" xfId="3" applyNumberFormat="1" applyFont="1" applyFill="1" applyBorder="1" applyAlignment="1" applyProtection="1">
      <alignment horizontal="center" vertical="center" wrapText="1"/>
    </xf>
    <xf numFmtId="166" fontId="23" fillId="3" borderId="21" xfId="3" applyNumberFormat="1" applyFont="1" applyFill="1" applyBorder="1" applyAlignment="1" applyProtection="1">
      <alignment horizontal="center" wrapText="1"/>
    </xf>
    <xf numFmtId="2" fontId="23" fillId="6" borderId="20" xfId="3" applyNumberFormat="1" applyFont="1" applyFill="1" applyBorder="1" applyAlignment="1" applyProtection="1">
      <alignment horizontal="center" vertical="center" wrapText="1"/>
    </xf>
    <xf numFmtId="8" fontId="10" fillId="3" borderId="0" xfId="0" applyNumberFormat="1" applyFont="1" applyFill="1" applyAlignment="1">
      <alignment horizontal="center" vertical="center" wrapText="1"/>
    </xf>
    <xf numFmtId="167" fontId="23" fillId="7" borderId="9" xfId="3" applyNumberFormat="1" applyFont="1" applyFill="1" applyBorder="1" applyAlignment="1" applyProtection="1">
      <alignment horizontal="center" vertical="center" wrapText="1"/>
    </xf>
    <xf numFmtId="8" fontId="14" fillId="3" borderId="0" xfId="0" applyNumberFormat="1" applyFont="1" applyFill="1" applyAlignment="1">
      <alignment wrapText="1"/>
    </xf>
    <xf numFmtId="0" fontId="11" fillId="6" borderId="0" xfId="0" applyFont="1" applyFill="1" applyAlignment="1">
      <alignment horizontal="left" vertical="center" wrapText="1"/>
    </xf>
    <xf numFmtId="8" fontId="23" fillId="6" borderId="6" xfId="3" applyNumberFormat="1" applyFont="1" applyFill="1" applyBorder="1" applyAlignment="1" applyProtection="1">
      <alignment horizontal="center" vertical="center" wrapText="1"/>
    </xf>
    <xf numFmtId="0" fontId="0" fillId="3" borderId="26" xfId="0" applyFill="1" applyBorder="1" applyAlignment="1">
      <alignment wrapText="1"/>
    </xf>
    <xf numFmtId="167" fontId="23" fillId="7" borderId="8" xfId="3" applyNumberFormat="1" applyFont="1" applyFill="1" applyBorder="1" applyAlignment="1" applyProtection="1">
      <alignment horizontal="center" vertical="center" wrapText="1"/>
    </xf>
    <xf numFmtId="167" fontId="23" fillId="6" borderId="7" xfId="3" applyNumberFormat="1" applyFont="1" applyFill="1" applyBorder="1" applyAlignment="1" applyProtection="1">
      <alignment horizontal="center" vertical="center" wrapText="1"/>
    </xf>
    <xf numFmtId="0" fontId="23" fillId="3" borderId="0" xfId="3" applyFont="1" applyFill="1" applyBorder="1" applyAlignment="1" applyProtection="1">
      <alignment horizontal="center" wrapText="1"/>
    </xf>
    <xf numFmtId="167" fontId="23" fillId="6" borderId="8" xfId="3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Alignment="1">
      <alignment wrapText="1"/>
    </xf>
    <xf numFmtId="2" fontId="23" fillId="3" borderId="0" xfId="3" applyNumberFormat="1" applyFont="1" applyFill="1" applyBorder="1" applyAlignment="1" applyProtection="1">
      <alignment horizontal="center" vertical="center" wrapText="1"/>
    </xf>
    <xf numFmtId="0" fontId="0" fillId="3" borderId="16" xfId="0" applyFill="1" applyBorder="1"/>
    <xf numFmtId="0" fontId="0" fillId="3" borderId="28" xfId="0" applyFill="1" applyBorder="1"/>
    <xf numFmtId="8" fontId="8" fillId="3" borderId="18" xfId="3" applyNumberFormat="1" applyFont="1" applyFill="1" applyBorder="1" applyAlignment="1" applyProtection="1">
      <alignment horizontal="center"/>
    </xf>
    <xf numFmtId="0" fontId="0" fillId="3" borderId="29" xfId="0" applyFill="1" applyBorder="1"/>
    <xf numFmtId="8" fontId="8" fillId="3" borderId="0" xfId="3" applyNumberFormat="1" applyFont="1" applyFill="1" applyBorder="1" applyAlignment="1" applyProtection="1">
      <alignment horizontal="center"/>
    </xf>
    <xf numFmtId="2" fontId="26" fillId="4" borderId="9" xfId="0" applyNumberFormat="1" applyFont="1" applyFill="1" applyBorder="1" applyAlignment="1" applyProtection="1">
      <alignment horizontal="center" vertical="center"/>
      <protection locked="0"/>
    </xf>
    <xf numFmtId="0" fontId="26" fillId="4" borderId="8" xfId="0" applyFont="1" applyFill="1" applyBorder="1" applyAlignment="1" applyProtection="1">
      <alignment horizontal="center" vertical="center"/>
      <protection locked="0"/>
    </xf>
    <xf numFmtId="0" fontId="26" fillId="4" borderId="8" xfId="0" applyFont="1" applyFill="1" applyBorder="1" applyAlignment="1" applyProtection="1">
      <alignment horizontal="center" vertical="center" wrapText="1"/>
      <protection locked="0"/>
    </xf>
    <xf numFmtId="0" fontId="35" fillId="4" borderId="8" xfId="6" applyNumberFormat="1" applyFont="1" applyFill="1" applyBorder="1" applyAlignment="1" applyProtection="1">
      <alignment horizontal="center" vertical="center" wrapText="1"/>
      <protection locked="0"/>
    </xf>
    <xf numFmtId="0" fontId="26" fillId="4" borderId="9" xfId="0" applyFont="1" applyFill="1" applyBorder="1" applyAlignment="1" applyProtection="1">
      <alignment horizontal="center" vertical="center"/>
      <protection locked="0"/>
    </xf>
    <xf numFmtId="8" fontId="26" fillId="4" borderId="8" xfId="0" applyNumberFormat="1" applyFont="1" applyFill="1" applyBorder="1" applyAlignment="1" applyProtection="1">
      <alignment horizontal="center" vertical="center"/>
      <protection locked="0"/>
    </xf>
    <xf numFmtId="8" fontId="26" fillId="4" borderId="9" xfId="0" applyNumberFormat="1" applyFont="1" applyFill="1" applyBorder="1" applyAlignment="1" applyProtection="1">
      <alignment horizontal="center" vertical="center"/>
      <protection locked="0"/>
    </xf>
    <xf numFmtId="8" fontId="26" fillId="4" borderId="12" xfId="0" applyNumberFormat="1" applyFont="1" applyFill="1" applyBorder="1" applyAlignment="1" applyProtection="1">
      <alignment horizontal="center" vertical="center"/>
      <protection locked="0"/>
    </xf>
    <xf numFmtId="10" fontId="26" fillId="4" borderId="8" xfId="0" applyNumberFormat="1" applyFont="1" applyFill="1" applyBorder="1" applyAlignment="1" applyProtection="1">
      <alignment horizontal="center" vertical="center"/>
      <protection locked="0"/>
    </xf>
    <xf numFmtId="0" fontId="42" fillId="6" borderId="10" xfId="0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43" fillId="6" borderId="10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14" fontId="50" fillId="3" borderId="28" xfId="0" applyNumberFormat="1" applyFont="1" applyFill="1" applyBorder="1" applyAlignment="1">
      <alignment horizontal="center" vertical="top" wrapText="1"/>
    </xf>
    <xf numFmtId="0" fontId="49" fillId="3" borderId="18" xfId="0" applyFont="1" applyFill="1" applyBorder="1" applyAlignment="1">
      <alignment horizontal="center" vertical="top" wrapText="1"/>
    </xf>
    <xf numFmtId="0" fontId="49" fillId="3" borderId="29" xfId="0" applyFont="1" applyFill="1" applyBorder="1" applyAlignment="1">
      <alignment horizontal="center" vertical="top" wrapText="1"/>
    </xf>
    <xf numFmtId="0" fontId="48" fillId="3" borderId="26" xfId="0" applyFont="1" applyFill="1" applyBorder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48" fillId="3" borderId="27" xfId="0" applyFont="1" applyFill="1" applyBorder="1" applyAlignment="1">
      <alignment horizontal="center" vertical="center"/>
    </xf>
    <xf numFmtId="22" fontId="6" fillId="3" borderId="26" xfId="0" applyNumberFormat="1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6" fillId="3" borderId="27" xfId="0" applyFont="1" applyFill="1" applyBorder="1" applyAlignment="1">
      <alignment horizontal="center" vertical="top"/>
    </xf>
    <xf numFmtId="0" fontId="9" fillId="3" borderId="14" xfId="4" applyFont="1" applyFill="1" applyBorder="1" applyAlignment="1" applyProtection="1">
      <alignment horizontal="center"/>
    </xf>
    <xf numFmtId="0" fontId="9" fillId="3" borderId="13" xfId="4" applyFont="1" applyFill="1" applyBorder="1" applyAlignment="1" applyProtection="1">
      <alignment horizontal="center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27" fillId="7" borderId="31" xfId="2" applyFont="1" applyFill="1" applyBorder="1" applyAlignment="1" applyProtection="1">
      <alignment horizontal="center"/>
    </xf>
    <xf numFmtId="0" fontId="41" fillId="6" borderId="31" xfId="2" applyFont="1" applyFill="1" applyBorder="1" applyAlignment="1" applyProtection="1">
      <alignment horizontal="center"/>
    </xf>
    <xf numFmtId="0" fontId="42" fillId="7" borderId="10" xfId="0" applyFont="1" applyFill="1" applyBorder="1" applyAlignment="1">
      <alignment horizontal="center" vertical="center" wrapText="1"/>
    </xf>
    <xf numFmtId="0" fontId="47" fillId="7" borderId="10" xfId="2" applyFont="1" applyFill="1" applyBorder="1" applyAlignment="1" applyProtection="1">
      <alignment horizontal="center" vertical="center" wrapText="1"/>
    </xf>
    <xf numFmtId="0" fontId="47" fillId="6" borderId="10" xfId="2" applyFont="1" applyFill="1" applyBorder="1" applyAlignment="1" applyProtection="1">
      <alignment horizontal="center" vertical="center"/>
    </xf>
    <xf numFmtId="0" fontId="44" fillId="7" borderId="10" xfId="0" applyFont="1" applyFill="1" applyBorder="1" applyAlignment="1">
      <alignment horizontal="center" vertical="center" wrapText="1"/>
    </xf>
    <xf numFmtId="0" fontId="44" fillId="6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167" fontId="13" fillId="4" borderId="8" xfId="4" applyNumberFormat="1" applyFont="1" applyFill="1" applyBorder="1" applyAlignment="1" applyProtection="1">
      <alignment horizontal="center" vertical="center"/>
      <protection locked="0"/>
    </xf>
  </cellXfs>
  <cellStyles count="8">
    <cellStyle name="Heading 1" xfId="2" builtinId="16"/>
    <cellStyle name="Heading 2" xfId="5" builtinId="17"/>
    <cellStyle name="Heading 3" xfId="1" builtinId="18"/>
    <cellStyle name="Hyperlink" xfId="7" builtinId="8"/>
    <cellStyle name="Normal" xfId="0" builtinId="0"/>
    <cellStyle name="Output" xfId="3" builtinId="21"/>
    <cellStyle name="Percent" xfId="6" builtinId="5"/>
    <cellStyle name="Total" xfId="4" builtinId="25"/>
  </cellStyles>
  <dxfs count="2">
    <dxf>
      <font>
        <color rgb="FFFF0000"/>
      </font>
    </dxf>
    <dxf>
      <font>
        <color rgb="FF4C9249"/>
      </font>
    </dxf>
  </dxfs>
  <tableStyles count="0" defaultTableStyle="TableStyleMedium2" defaultPivotStyle="PivotStyleLight16"/>
  <colors>
    <mruColors>
      <color rgb="FFF47921"/>
      <color rgb="FF114827"/>
      <color rgb="FFFFFFFF"/>
      <color rgb="FF000000"/>
      <color rgb="FF0000FF"/>
      <color rgb="FFF2F2F2"/>
      <color rgb="FF004C23"/>
      <color rgb="FF4C9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Total emissions over feeding period lb CO2e / head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53150679864292"/>
          <c:y val="0.15274998147886412"/>
          <c:w val="0.79883250224959546"/>
          <c:h val="0.74201407963539456"/>
        </c:manualLayout>
      </c:layout>
      <c:barChart>
        <c:barDir val="col"/>
        <c:grouping val="clustered"/>
        <c:varyColors val="0"/>
        <c:ser>
          <c:idx val="0"/>
          <c:order val="0"/>
          <c:tx>
            <c:v>Enteric methane over the feeding period, lb CO2e/head</c:v>
          </c:tx>
          <c:spPr>
            <a:solidFill>
              <a:srgbClr val="114827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4792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9A-4B36-964E-EF9DBC7CDC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'Feedlot cattle enteric calc'!$I$28:$I$29</c:f>
              <c:strCache>
                <c:ptCount val="2"/>
                <c:pt idx="0">
                  <c:v>Baseline</c:v>
                </c:pt>
                <c:pt idx="1">
                  <c:v>Additive</c:v>
                </c:pt>
              </c:strCache>
            </c:strRef>
          </c:cat>
          <c:val>
            <c:numRef>
              <c:f>'Feedlot cattle enteric calc'!$J$28:$J$29</c:f>
              <c:numCache>
                <c:formatCode>0.0</c:formatCode>
                <c:ptCount val="2"/>
                <c:pt idx="0">
                  <c:v>1146.5742229896819</c:v>
                </c:pt>
                <c:pt idx="1">
                  <c:v>593.87911149484091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A-4B36-964E-EF9DBC7CDC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-27"/>
        <c:axId val="1424823231"/>
        <c:axId val="1424813663"/>
      </c:barChart>
      <c:catAx>
        <c:axId val="14248232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Scenario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813663"/>
        <c:crosses val="autoZero"/>
        <c:auto val="1"/>
        <c:lblAlgn val="ctr"/>
        <c:lblOffset val="100"/>
        <c:noMultiLvlLbl val="0"/>
      </c:catAx>
      <c:valAx>
        <c:axId val="1424813663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Enteric methane emissions, lb CO2e / head</a:t>
                </a:r>
              </a:p>
            </c:rich>
          </c:tx>
          <c:layout>
            <c:manualLayout>
              <c:xMode val="edge"/>
              <c:yMode val="edge"/>
              <c:x val="2.1304210422200189E-2"/>
              <c:y val="0.14449073226311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82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Cash basis margin, $ / head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88390535869134"/>
          <c:y val="0.10202598221733912"/>
          <c:w val="0.80359951559363896"/>
          <c:h val="0.78916687012960585"/>
        </c:manualLayout>
      </c:layout>
      <c:barChart>
        <c:barDir val="col"/>
        <c:grouping val="clustered"/>
        <c:varyColors val="0"/>
        <c:ser>
          <c:idx val="0"/>
          <c:order val="0"/>
          <c:tx>
            <c:v>Cash basis margin, $/head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1482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FAB-446B-8D7A-8E32406C7F76}"/>
              </c:ext>
            </c:extLst>
          </c:dPt>
          <c:dPt>
            <c:idx val="1"/>
            <c:invertIfNegative val="0"/>
            <c:bubble3D val="0"/>
            <c:spPr>
              <a:solidFill>
                <a:srgbClr val="F4792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3C-4138-94E0-9E9B811FA0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'Feedlot cattle enteric calc'!$I$28:$I$29</c:f>
              <c:strCache>
                <c:ptCount val="2"/>
                <c:pt idx="0">
                  <c:v>Baseline</c:v>
                </c:pt>
                <c:pt idx="1">
                  <c:v>Additive</c:v>
                </c:pt>
              </c:strCache>
            </c:strRef>
          </c:cat>
          <c:val>
            <c:numRef>
              <c:f>'Feedlot cattle enteric calc'!$J$47:$J$48</c:f>
              <c:numCache>
                <c:formatCode>0.0</c:formatCode>
                <c:ptCount val="2"/>
                <c:pt idx="0">
                  <c:v>19.210000000000036</c:v>
                </c:pt>
                <c:pt idx="1">
                  <c:v>19.210000000000036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3C-4138-94E0-9E9B811FA0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-27"/>
        <c:axId val="1424823231"/>
        <c:axId val="1424813663"/>
      </c:barChart>
      <c:catAx>
        <c:axId val="14248232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Scenario</a:t>
                </a:r>
              </a:p>
            </c:rich>
          </c:tx>
          <c:layout>
            <c:manualLayout>
              <c:xMode val="edge"/>
              <c:yMode val="edge"/>
              <c:x val="0.48823817076027931"/>
              <c:y val="0.940710270135165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813663"/>
        <c:crossesAt val="0"/>
        <c:auto val="1"/>
        <c:lblAlgn val="ctr"/>
        <c:lblOffset val="100"/>
        <c:noMultiLvlLbl val="0"/>
      </c:catAx>
      <c:valAx>
        <c:axId val="1424813663"/>
        <c:scaling>
          <c:orientation val="minMax"/>
          <c:max val="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Cash basis margin per head, $</a:t>
                </a:r>
              </a:p>
            </c:rich>
          </c:tx>
          <c:layout>
            <c:manualLayout>
              <c:xMode val="edge"/>
              <c:yMode val="edge"/>
              <c:x val="2.6703246985421484E-2"/>
              <c:y val="0.25942913385826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823231"/>
        <c:crosses val="autoZero"/>
        <c:crossBetween val="between"/>
      </c:valAx>
      <c:spPr>
        <a:solidFill>
          <a:srgbClr val="FFFFFF">
            <a:alpha val="40000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Total emisisons over feeding period, kg CO2e / head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800964491374336"/>
          <c:y val="0.11028122571395563"/>
          <c:w val="0.80343270266611277"/>
          <c:h val="0.771131730804242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1482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4-4E97-A061-8B6F875B0D69}"/>
              </c:ext>
            </c:extLst>
          </c:dPt>
          <c:dPt>
            <c:idx val="1"/>
            <c:invertIfNegative val="0"/>
            <c:bubble3D val="0"/>
            <c:spPr>
              <a:solidFill>
                <a:srgbClr val="F4792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4-4E97-A061-8B6F875B0D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'Feedlot cattle enteric calc'!$I$28:$I$29</c:f>
              <c:strCache>
                <c:ptCount val="2"/>
                <c:pt idx="0">
                  <c:v>Baseline</c:v>
                </c:pt>
                <c:pt idx="1">
                  <c:v>Additive</c:v>
                </c:pt>
              </c:strCache>
            </c:strRef>
          </c:cat>
          <c:val>
            <c:numRef>
              <c:f>'Feedlot cattle enteric calc'!$J$33:$J$34</c:f>
              <c:numCache>
                <c:formatCode>0.0</c:formatCode>
                <c:ptCount val="2"/>
                <c:pt idx="0">
                  <c:v>520.0773196229303</c:v>
                </c:pt>
                <c:pt idx="1">
                  <c:v>269.37903390233782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Enteric methane over the feeding period, kg CO2e/head</c:v>
                </c15:tx>
              </c15:filteredSeriesTitle>
            </c:ext>
            <c:ext xmlns:c16="http://schemas.microsoft.com/office/drawing/2014/chart" uri="{C3380CC4-5D6E-409C-BE32-E72D297353CC}">
              <c16:uniqueId val="{00000004-A674-4E97-A061-8B6F875B0D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-27"/>
        <c:axId val="1424823231"/>
        <c:axId val="1424813663"/>
      </c:barChart>
      <c:catAx>
        <c:axId val="14248232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Scenario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813663"/>
        <c:crosses val="autoZero"/>
        <c:auto val="1"/>
        <c:lblAlgn val="ctr"/>
        <c:lblOffset val="100"/>
        <c:noMultiLvlLbl val="0"/>
      </c:catAx>
      <c:valAx>
        <c:axId val="1424813663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emissions, kg CO2e per head</a:t>
                </a:r>
              </a:p>
            </c:rich>
          </c:tx>
          <c:layout>
            <c:manualLayout>
              <c:xMode val="edge"/>
              <c:yMode val="edge"/>
              <c:x val="2.5946337803574745E-2"/>
              <c:y val="0.205605174508349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82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196380</xdr:colOff>
      <xdr:row>25</xdr:row>
      <xdr:rowOff>136072</xdr:rowOff>
    </xdr:from>
    <xdr:to>
      <xdr:col>10</xdr:col>
      <xdr:colOff>95251</xdr:colOff>
      <xdr:row>35</xdr:row>
      <xdr:rowOff>249370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D3FD20-0731-7FF5-EEC6-679376FAD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181738</xdr:colOff>
      <xdr:row>45</xdr:row>
      <xdr:rowOff>58762</xdr:rowOff>
    </xdr:from>
    <xdr:to>
      <xdr:col>10</xdr:col>
      <xdr:colOff>80609</xdr:colOff>
      <xdr:row>54</xdr:row>
      <xdr:rowOff>143670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90183B-4ED9-46FE-ACBA-75B2785CF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38947</xdr:colOff>
      <xdr:row>1</xdr:row>
      <xdr:rowOff>80586</xdr:rowOff>
    </xdr:from>
    <xdr:to>
      <xdr:col>2</xdr:col>
      <xdr:colOff>2474646</xdr:colOff>
      <xdr:row>4</xdr:row>
      <xdr:rowOff>284074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E8FFF-DD92-2724-D3DD-BBA4C88C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3" y="230265"/>
          <a:ext cx="2429349" cy="1404998"/>
        </a:xfrm>
        <a:prstGeom prst="rect">
          <a:avLst/>
        </a:prstGeom>
      </xdr:spPr>
    </xdr:pic>
    <xdr:clientData/>
  </xdr:twoCellAnchor>
  <xdr:twoCellAnchor>
    <xdr:from>
      <xdr:col>7</xdr:col>
      <xdr:colOff>209986</xdr:colOff>
      <xdr:row>35</xdr:row>
      <xdr:rowOff>417773</xdr:rowOff>
    </xdr:from>
    <xdr:to>
      <xdr:col>10</xdr:col>
      <xdr:colOff>108857</xdr:colOff>
      <xdr:row>44</xdr:row>
      <xdr:rowOff>329870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E56601-627C-4D2F-B275-8C6AFB571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2312461</xdr:colOff>
      <xdr:row>1</xdr:row>
      <xdr:rowOff>82494</xdr:rowOff>
    </xdr:from>
    <xdr:to>
      <xdr:col>10</xdr:col>
      <xdr:colOff>4677</xdr:colOff>
      <xdr:row>4</xdr:row>
      <xdr:rowOff>282167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A37A5C-2A35-431E-BF64-D0BA62DE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3747" y="232173"/>
          <a:ext cx="2441109" cy="14011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1</xdr:row>
      <xdr:rowOff>142875</xdr:rowOff>
    </xdr:from>
    <xdr:to>
      <xdr:col>8</xdr:col>
      <xdr:colOff>828675</xdr:colOff>
      <xdr:row>18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AD2A43-22DA-7C60-EC4F-6727F7171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6" t="3624" r="1022" b="3535"/>
        <a:stretch/>
      </xdr:blipFill>
      <xdr:spPr>
        <a:xfrm>
          <a:off x="6162675" y="342900"/>
          <a:ext cx="5048250" cy="3086100"/>
        </a:xfrm>
        <a:prstGeom prst="rect">
          <a:avLst/>
        </a:prstGeom>
      </xdr:spPr>
    </xdr:pic>
    <xdr:clientData/>
  </xdr:twoCellAnchor>
  <xdr:twoCellAnchor>
    <xdr:from>
      <xdr:col>8</xdr:col>
      <xdr:colOff>1304925</xdr:colOff>
      <xdr:row>0</xdr:row>
      <xdr:rowOff>104775</xdr:rowOff>
    </xdr:from>
    <xdr:to>
      <xdr:col>15</xdr:col>
      <xdr:colOff>142875</xdr:colOff>
      <xdr:row>35</xdr:row>
      <xdr:rowOff>104775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DEBEFF1-45B8-5E10-B53F-4D2C3701AE22}"/>
            </a:ext>
          </a:extLst>
        </xdr:cNvPr>
        <xdr:cNvGrpSpPr/>
      </xdr:nvGrpSpPr>
      <xdr:grpSpPr>
        <a:xfrm>
          <a:off x="11668125" y="104775"/>
          <a:ext cx="5594350" cy="6235700"/>
          <a:chOff x="1733550" y="6229350"/>
          <a:chExt cx="7137052" cy="862012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B130DF5-064D-7FAC-17B3-7887FC3C1B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2" r="1955"/>
          <a:stretch/>
        </xdr:blipFill>
        <xdr:spPr>
          <a:xfrm>
            <a:off x="1733550" y="6229350"/>
            <a:ext cx="7115176" cy="6543675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96F5562-426B-694B-5B33-44F5F9D76E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532"/>
          <a:stretch/>
        </xdr:blipFill>
        <xdr:spPr>
          <a:xfrm>
            <a:off x="1733550" y="12392025"/>
            <a:ext cx="7137052" cy="245745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57151</xdr:colOff>
      <xdr:row>26</xdr:row>
      <xdr:rowOff>1</xdr:rowOff>
    </xdr:from>
    <xdr:to>
      <xdr:col>8</xdr:col>
      <xdr:colOff>1152525</xdr:colOff>
      <xdr:row>29</xdr:row>
      <xdr:rowOff>123392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D51988E-7780-DF42-E99E-2C9E8169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1" y="4724401"/>
          <a:ext cx="5724524" cy="66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gnext.colostate.edu/carbon-markets/" TargetMode="External"/><Relationship Id="rId1" Type="http://schemas.openxmlformats.org/officeDocument/2006/relationships/hyperlink" Target="https://carboncredits.com/carbon-prices-today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62AD-3A07-484D-B5E8-DB80C6C82BDD}">
  <sheetPr codeName="Sheet2">
    <pageSetUpPr fitToPage="1"/>
  </sheetPr>
  <dimension ref="A1:L71"/>
  <sheetViews>
    <sheetView tabSelected="1" zoomScale="70" zoomScaleNormal="70" zoomScalePageLayoutView="10" workbookViewId="0">
      <selection activeCell="D8" sqref="D8:F8"/>
    </sheetView>
  </sheetViews>
  <sheetFormatPr baseColWidth="10" defaultColWidth="0" defaultRowHeight="14" zeroHeight="1"/>
  <cols>
    <col min="1" max="1" width="2.5" style="17" customWidth="1"/>
    <col min="2" max="2" width="2" style="17" customWidth="1"/>
    <col min="3" max="3" width="40.6640625" style="17" customWidth="1"/>
    <col min="4" max="4" width="24.5" style="17" customWidth="1"/>
    <col min="5" max="5" width="4.1640625" style="17" customWidth="1"/>
    <col min="6" max="6" width="40" style="17" customWidth="1"/>
    <col min="7" max="7" width="24.5" style="17" customWidth="1"/>
    <col min="8" max="8" width="4.1640625" style="17" customWidth="1"/>
    <col min="9" max="9" width="37.5" style="17" customWidth="1"/>
    <col min="10" max="10" width="24.5" style="17" customWidth="1"/>
    <col min="11" max="12" width="2.5" style="17" customWidth="1"/>
    <col min="13" max="16384" width="9" style="17" hidden="1"/>
  </cols>
  <sheetData>
    <row r="1" spans="1:12" ht="12" customHeight="1" thickBo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8.5" customHeight="1">
      <c r="A2" s="16"/>
      <c r="B2" s="160" t="s">
        <v>0</v>
      </c>
      <c r="C2" s="161"/>
      <c r="D2" s="161"/>
      <c r="E2" s="161"/>
      <c r="F2" s="161"/>
      <c r="G2" s="161"/>
      <c r="H2" s="161"/>
      <c r="I2" s="161"/>
      <c r="J2" s="161"/>
      <c r="K2" s="162"/>
      <c r="L2" s="16"/>
    </row>
    <row r="3" spans="1:12" ht="49.5" customHeight="1">
      <c r="A3" s="16"/>
      <c r="B3" s="166" t="s">
        <v>1</v>
      </c>
      <c r="C3" s="167"/>
      <c r="D3" s="167"/>
      <c r="E3" s="167"/>
      <c r="F3" s="167"/>
      <c r="G3" s="167"/>
      <c r="H3" s="167"/>
      <c r="I3" s="167"/>
      <c r="J3" s="167"/>
      <c r="K3" s="168"/>
      <c r="L3" s="16"/>
    </row>
    <row r="4" spans="1:12" ht="17.25" customHeight="1">
      <c r="A4" s="16"/>
      <c r="B4" s="169"/>
      <c r="C4" s="170"/>
      <c r="D4" s="170"/>
      <c r="E4" s="170"/>
      <c r="F4" s="170"/>
      <c r="G4" s="170"/>
      <c r="H4" s="170"/>
      <c r="I4" s="170"/>
      <c r="J4" s="170"/>
      <c r="K4" s="171"/>
      <c r="L4" s="16"/>
    </row>
    <row r="5" spans="1:12" ht="30.75" customHeight="1">
      <c r="A5" s="16"/>
      <c r="B5" s="163" t="s">
        <v>131</v>
      </c>
      <c r="C5" s="164"/>
      <c r="D5" s="164"/>
      <c r="E5" s="164"/>
      <c r="F5" s="164"/>
      <c r="G5" s="164"/>
      <c r="H5" s="164"/>
      <c r="I5" s="164"/>
      <c r="J5" s="164"/>
      <c r="K5" s="165"/>
      <c r="L5" s="16"/>
    </row>
    <row r="6" spans="1:12" ht="15" customHeight="1" thickBot="1">
      <c r="A6" s="16"/>
      <c r="B6" s="18"/>
      <c r="C6" s="18"/>
      <c r="D6" s="18"/>
      <c r="E6" s="18"/>
      <c r="F6" s="18"/>
      <c r="G6" s="18"/>
      <c r="H6" s="18"/>
      <c r="I6" s="18"/>
      <c r="J6" s="18"/>
      <c r="K6" s="18"/>
      <c r="L6" s="16"/>
    </row>
    <row r="7" spans="1:12" ht="12" customHeight="1">
      <c r="A7" s="16"/>
      <c r="B7" s="19"/>
      <c r="C7" s="20"/>
      <c r="D7" s="21"/>
      <c r="E7" s="21"/>
      <c r="F7" s="21"/>
      <c r="G7" s="21"/>
      <c r="H7" s="21"/>
      <c r="I7" s="21"/>
      <c r="J7" s="21"/>
      <c r="K7" s="22"/>
      <c r="L7" s="16"/>
    </row>
    <row r="8" spans="1:12" ht="20.25" customHeight="1">
      <c r="A8" s="16"/>
      <c r="B8" s="23"/>
      <c r="C8" s="24" t="s">
        <v>2</v>
      </c>
      <c r="D8" s="174"/>
      <c r="E8" s="174"/>
      <c r="F8" s="174"/>
      <c r="G8" s="24" t="s">
        <v>3</v>
      </c>
      <c r="H8" s="175"/>
      <c r="I8" s="175"/>
      <c r="J8" s="175"/>
      <c r="K8" s="25"/>
      <c r="L8" s="16"/>
    </row>
    <row r="9" spans="1:12" ht="20.25" customHeight="1">
      <c r="A9" s="16"/>
      <c r="B9" s="23"/>
      <c r="C9" s="24" t="s">
        <v>4</v>
      </c>
      <c r="D9" s="174"/>
      <c r="E9" s="174"/>
      <c r="F9" s="174"/>
      <c r="G9" s="18"/>
      <c r="H9" s="175"/>
      <c r="I9" s="175"/>
      <c r="J9" s="175"/>
      <c r="K9" s="25"/>
      <c r="L9" s="16"/>
    </row>
    <row r="10" spans="1:12" ht="20.25" customHeight="1">
      <c r="A10" s="16"/>
      <c r="B10" s="23"/>
      <c r="C10" s="24" t="s">
        <v>5</v>
      </c>
      <c r="D10" s="174"/>
      <c r="E10" s="174"/>
      <c r="F10" s="174"/>
      <c r="G10" s="18"/>
      <c r="H10" s="175"/>
      <c r="I10" s="175"/>
      <c r="J10" s="175"/>
      <c r="K10" s="25"/>
      <c r="L10" s="16"/>
    </row>
    <row r="11" spans="1:12" ht="13.5" customHeight="1" thickBot="1">
      <c r="A11" s="16"/>
      <c r="B11" s="26"/>
      <c r="C11" s="27"/>
      <c r="D11" s="28"/>
      <c r="E11" s="28"/>
      <c r="F11" s="28"/>
      <c r="G11" s="27"/>
      <c r="H11" s="27"/>
      <c r="I11" s="27"/>
      <c r="J11" s="27"/>
      <c r="K11" s="29"/>
      <c r="L11" s="16"/>
    </row>
    <row r="12" spans="1:12" ht="10" customHeight="1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/>
    </row>
    <row r="13" spans="1:12" ht="21" customHeight="1" thickBot="1">
      <c r="A13" s="16"/>
      <c r="B13" s="18"/>
      <c r="C13" s="156" t="s">
        <v>6</v>
      </c>
      <c r="D13" s="156"/>
      <c r="E13" s="156"/>
      <c r="F13" s="156"/>
      <c r="G13" s="156"/>
      <c r="H13" s="156"/>
      <c r="I13" s="156"/>
      <c r="J13" s="156"/>
      <c r="K13" s="156"/>
      <c r="L13" s="16"/>
    </row>
    <row r="14" spans="1:12" ht="18.75" customHeight="1">
      <c r="A14" s="16"/>
      <c r="B14" s="30"/>
      <c r="C14" s="31" t="s">
        <v>7</v>
      </c>
      <c r="D14" s="32"/>
      <c r="E14" s="33"/>
      <c r="F14" s="34" t="s">
        <v>8</v>
      </c>
      <c r="G14" s="32"/>
      <c r="H14" s="33"/>
      <c r="I14" s="34" t="s">
        <v>9</v>
      </c>
      <c r="J14" s="35"/>
      <c r="K14" s="36"/>
      <c r="L14" s="16"/>
    </row>
    <row r="15" spans="1:12" ht="60" customHeight="1">
      <c r="A15" s="16"/>
      <c r="B15" s="37"/>
      <c r="C15" s="38" t="s">
        <v>10</v>
      </c>
      <c r="D15" s="145">
        <v>24</v>
      </c>
      <c r="E15" s="39"/>
      <c r="F15" s="40" t="s">
        <v>11</v>
      </c>
      <c r="G15" s="149">
        <v>850</v>
      </c>
      <c r="H15" s="41"/>
      <c r="I15" s="42" t="s">
        <v>12</v>
      </c>
      <c r="J15" s="153">
        <v>-0.5</v>
      </c>
      <c r="K15" s="43"/>
      <c r="L15" s="16"/>
    </row>
    <row r="16" spans="1:12" ht="60" customHeight="1">
      <c r="A16" s="16"/>
      <c r="B16" s="37"/>
      <c r="C16" s="44" t="s">
        <v>13</v>
      </c>
      <c r="D16" s="146">
        <v>165</v>
      </c>
      <c r="E16" s="41"/>
      <c r="F16" s="45" t="s">
        <v>14</v>
      </c>
      <c r="G16" s="146">
        <v>3.7</v>
      </c>
      <c r="H16" s="41"/>
      <c r="I16" s="42" t="s">
        <v>15</v>
      </c>
      <c r="J16" s="153">
        <v>0</v>
      </c>
      <c r="K16" s="46"/>
      <c r="L16" s="47"/>
    </row>
    <row r="17" spans="1:12" ht="60" customHeight="1">
      <c r="A17" s="16"/>
      <c r="B17" s="37"/>
      <c r="C17" s="48" t="s">
        <v>16</v>
      </c>
      <c r="D17" s="146" t="s">
        <v>17</v>
      </c>
      <c r="E17" s="41"/>
      <c r="F17" s="49" t="s">
        <v>18</v>
      </c>
      <c r="G17" s="50"/>
      <c r="H17" s="41"/>
      <c r="I17" s="42" t="s">
        <v>19</v>
      </c>
      <c r="J17" s="153">
        <v>0</v>
      </c>
      <c r="K17" s="46"/>
      <c r="L17" s="47"/>
    </row>
    <row r="18" spans="1:12" ht="60" customHeight="1">
      <c r="A18" s="16"/>
      <c r="B18" s="51"/>
      <c r="C18" s="48" t="s">
        <v>20</v>
      </c>
      <c r="D18" s="147" t="s">
        <v>99</v>
      </c>
      <c r="E18" s="41"/>
      <c r="F18" s="45" t="s">
        <v>22</v>
      </c>
      <c r="G18" s="150">
        <v>280</v>
      </c>
      <c r="H18" s="52"/>
      <c r="I18" s="42" t="s">
        <v>23</v>
      </c>
      <c r="J18" s="150">
        <v>0.15</v>
      </c>
      <c r="K18" s="46"/>
      <c r="L18" s="16"/>
    </row>
    <row r="19" spans="1:12" ht="60" customHeight="1">
      <c r="A19" s="16"/>
      <c r="B19" s="51"/>
      <c r="C19" s="48" t="s">
        <v>24</v>
      </c>
      <c r="D19" s="147" t="s">
        <v>124</v>
      </c>
      <c r="E19" s="53"/>
      <c r="F19" s="45" t="s">
        <v>26</v>
      </c>
      <c r="G19" s="151">
        <v>225</v>
      </c>
      <c r="H19" s="54"/>
      <c r="I19" s="55" t="s">
        <v>27</v>
      </c>
      <c r="J19" s="150">
        <v>98.724249066402862</v>
      </c>
      <c r="K19" s="46"/>
      <c r="L19" s="56"/>
    </row>
    <row r="20" spans="1:12" ht="59.5" customHeight="1">
      <c r="A20" s="16"/>
      <c r="B20" s="51"/>
      <c r="C20" s="48" t="s">
        <v>28</v>
      </c>
      <c r="D20" s="148">
        <v>68</v>
      </c>
      <c r="E20" s="53"/>
      <c r="F20" s="45" t="s">
        <v>29</v>
      </c>
      <c r="G20" s="150">
        <v>182</v>
      </c>
      <c r="H20" s="54"/>
      <c r="I20" s="49" t="s">
        <v>30</v>
      </c>
      <c r="J20" s="57"/>
      <c r="K20" s="46"/>
      <c r="L20" s="16"/>
    </row>
    <row r="21" spans="1:12" ht="59.5" customHeight="1">
      <c r="A21" s="16"/>
      <c r="B21" s="37"/>
      <c r="C21" s="58"/>
      <c r="D21" s="59"/>
      <c r="E21" s="53"/>
      <c r="F21" s="45" t="s">
        <v>31</v>
      </c>
      <c r="G21" s="152">
        <v>40</v>
      </c>
      <c r="H21" s="60"/>
      <c r="I21" s="61" t="s">
        <v>32</v>
      </c>
      <c r="J21" s="62" t="s">
        <v>33</v>
      </c>
      <c r="K21" s="63"/>
      <c r="L21" s="64"/>
    </row>
    <row r="22" spans="1:12" ht="59.5" customHeight="1">
      <c r="A22" s="16"/>
      <c r="B22" s="65"/>
      <c r="C22" s="16"/>
      <c r="D22" s="16"/>
      <c r="E22" s="60"/>
      <c r="F22" s="45" t="s">
        <v>34</v>
      </c>
      <c r="G22" s="150">
        <v>0.8</v>
      </c>
      <c r="H22" s="54"/>
      <c r="I22" s="66" t="s">
        <v>35</v>
      </c>
      <c r="J22" s="67" t="s">
        <v>36</v>
      </c>
      <c r="K22" s="46"/>
      <c r="L22" s="68"/>
    </row>
    <row r="23" spans="1:12" ht="13.5" customHeight="1" thickBot="1">
      <c r="A23" s="16"/>
      <c r="B23" s="69"/>
      <c r="C23" s="70"/>
      <c r="D23" s="70"/>
      <c r="E23" s="70"/>
      <c r="F23" s="70"/>
      <c r="G23" s="70"/>
      <c r="H23" s="70"/>
      <c r="I23" s="71"/>
      <c r="J23" s="71"/>
      <c r="K23" s="72"/>
      <c r="L23" s="68"/>
    </row>
    <row r="24" spans="1:12" ht="10" customHeight="1">
      <c r="A24" s="16"/>
      <c r="B24" s="73"/>
      <c r="C24" s="52"/>
      <c r="D24" s="52"/>
      <c r="E24" s="52"/>
      <c r="F24" s="52"/>
      <c r="G24" s="52"/>
      <c r="H24" s="52"/>
      <c r="I24" s="16"/>
      <c r="J24" s="16"/>
      <c r="K24" s="74"/>
      <c r="L24" s="68"/>
    </row>
    <row r="25" spans="1:12" ht="27.75" customHeight="1" thickBot="1">
      <c r="A25" s="16"/>
      <c r="B25" s="18"/>
      <c r="C25" s="156" t="s">
        <v>37</v>
      </c>
      <c r="D25" s="156"/>
      <c r="E25" s="156"/>
      <c r="F25" s="156"/>
      <c r="G25" s="156"/>
      <c r="H25" s="156"/>
      <c r="I25" s="156"/>
      <c r="J25" s="156"/>
      <c r="K25" s="18"/>
      <c r="L25" s="16"/>
    </row>
    <row r="26" spans="1:12" ht="18.75" customHeight="1">
      <c r="A26" s="16"/>
      <c r="B26" s="75"/>
      <c r="C26" s="176" t="s">
        <v>38</v>
      </c>
      <c r="D26" s="176"/>
      <c r="E26" s="76"/>
      <c r="F26" s="177" t="s">
        <v>39</v>
      </c>
      <c r="G26" s="177"/>
      <c r="H26" s="77"/>
      <c r="I26" s="35"/>
      <c r="J26" s="35"/>
      <c r="K26" s="36"/>
      <c r="L26" s="16"/>
    </row>
    <row r="27" spans="1:12" s="87" customFormat="1" ht="34" hidden="1" customHeight="1">
      <c r="A27" s="78"/>
      <c r="B27" s="79"/>
      <c r="C27" s="80" t="s">
        <v>40</v>
      </c>
      <c r="D27" s="81">
        <f>'Defaults and Options'!C4*(IF(D17="No",'Defaults and Options'!C18,'Defaults and Options'!$C$17))*(_xlfn.XLOOKUP(D18,'Defaults and Options'!B21:B24,'Defaults and Options'!C21:C24))*(_xlfn.XLOOKUP(D19,'Defaults and Options'!B41:B49,'Defaults and Options'!E41:E49))*(('Defaults and Options'!C27 -('Defaults and Options'!C28*((_xlfn.XLOOKUP('Feedlot cattle enteric calc'!D19,'Defaults and Options'!B41:B49,'Defaults and Options'!C41:C49)*D20%)+((100-D20-'Defaults and Options'!C33)%*'Defaults and Options'!C31))/((_xlfn.XLOOKUP('Feedlot cattle enteric calc'!D19,'Defaults and Options'!B41:B49,'Defaults and Options'!D41:D49)*D20%)+((100-D20-'Defaults and Options'!C33)%*'Defaults and Options'!C32))))/'Defaults and Options'!C4)</f>
        <v>3.1190170925953198</v>
      </c>
      <c r="E27" s="82"/>
      <c r="F27" s="83" t="s">
        <v>41</v>
      </c>
      <c r="G27" s="84">
        <f>D27*(1+J15)</f>
        <v>1.5595085462976599</v>
      </c>
      <c r="H27" s="85"/>
      <c r="I27" s="78"/>
      <c r="J27" s="78"/>
      <c r="K27" s="86"/>
      <c r="L27" s="78"/>
    </row>
    <row r="28" spans="1:12" s="87" customFormat="1" ht="34" customHeight="1">
      <c r="A28" s="78"/>
      <c r="B28" s="79"/>
      <c r="C28" s="178" t="s">
        <v>42</v>
      </c>
      <c r="D28" s="178"/>
      <c r="E28" s="82"/>
      <c r="F28" s="154" t="s">
        <v>42</v>
      </c>
      <c r="G28" s="154"/>
      <c r="H28" s="78"/>
      <c r="I28" s="88" t="s">
        <v>43</v>
      </c>
      <c r="J28" s="89">
        <f>D35</f>
        <v>1146.5742229896819</v>
      </c>
      <c r="K28" s="86"/>
      <c r="L28" s="78"/>
    </row>
    <row r="29" spans="1:12" s="87" customFormat="1" ht="34" customHeight="1">
      <c r="A29" s="78"/>
      <c r="B29" s="79"/>
      <c r="C29" s="90" t="s">
        <v>44</v>
      </c>
      <c r="D29" s="91">
        <f>D15</f>
        <v>24</v>
      </c>
      <c r="E29" s="92"/>
      <c r="F29" s="93" t="s">
        <v>44</v>
      </c>
      <c r="G29" s="94">
        <f>D15*(1+J17)</f>
        <v>24</v>
      </c>
      <c r="H29" s="78"/>
      <c r="I29" s="88" t="s">
        <v>45</v>
      </c>
      <c r="J29" s="89">
        <f>G37</f>
        <v>593.87911149484091</v>
      </c>
      <c r="K29" s="86"/>
      <c r="L29" s="78"/>
    </row>
    <row r="30" spans="1:12" s="87" customFormat="1" ht="34" customHeight="1">
      <c r="A30" s="78"/>
      <c r="B30" s="79"/>
      <c r="C30" s="90" t="s">
        <v>46</v>
      </c>
      <c r="D30" s="95">
        <f>(D16*G16)+G15</f>
        <v>1460.5</v>
      </c>
      <c r="E30" s="82"/>
      <c r="F30" s="93" t="s">
        <v>46</v>
      </c>
      <c r="G30" s="96">
        <f>G15+(D16*G16*(1+J16))</f>
        <v>1460.5</v>
      </c>
      <c r="H30" s="78"/>
      <c r="K30" s="86"/>
      <c r="L30" s="78"/>
    </row>
    <row r="31" spans="1:12" s="87" customFormat="1" ht="34" customHeight="1">
      <c r="A31" s="78"/>
      <c r="B31" s="79"/>
      <c r="C31" s="90" t="s">
        <v>47</v>
      </c>
      <c r="D31" s="97">
        <f>G16</f>
        <v>3.7</v>
      </c>
      <c r="E31" s="98"/>
      <c r="F31" s="93" t="s">
        <v>47</v>
      </c>
      <c r="G31" s="99">
        <f>(J16+1)*G16</f>
        <v>3.7</v>
      </c>
      <c r="H31" s="78"/>
      <c r="I31" s="88"/>
      <c r="J31" s="100"/>
      <c r="K31" s="86"/>
      <c r="L31" s="78"/>
    </row>
    <row r="32" spans="1:12" s="87" customFormat="1" ht="34" customHeight="1">
      <c r="A32" s="78"/>
      <c r="B32" s="79"/>
      <c r="C32" s="90" t="s">
        <v>48</v>
      </c>
      <c r="D32" s="91">
        <f>D15/G16</f>
        <v>6.486486486486486</v>
      </c>
      <c r="E32" s="82"/>
      <c r="F32" s="93" t="s">
        <v>48</v>
      </c>
      <c r="G32" s="94">
        <f>(D15*(1+J17))/(G16*(1+J16))</f>
        <v>6.486486486486486</v>
      </c>
      <c r="H32" s="78"/>
      <c r="I32" s="101"/>
      <c r="J32" s="78"/>
      <c r="K32" s="86"/>
      <c r="L32" s="78"/>
    </row>
    <row r="33" spans="1:12" s="87" customFormat="1" ht="34" customHeight="1">
      <c r="A33" s="78"/>
      <c r="B33" s="79"/>
      <c r="C33" s="155" t="s">
        <v>49</v>
      </c>
      <c r="D33" s="155"/>
      <c r="E33" s="82"/>
      <c r="F33" s="159" t="s">
        <v>49</v>
      </c>
      <c r="G33" s="159"/>
      <c r="H33" s="78"/>
      <c r="I33" s="88" t="s">
        <v>43</v>
      </c>
      <c r="J33" s="89">
        <f>D42</f>
        <v>520.0773196229303</v>
      </c>
      <c r="K33" s="86"/>
      <c r="L33" s="78"/>
    </row>
    <row r="34" spans="1:12" s="87" customFormat="1" ht="34" customHeight="1">
      <c r="A34" s="78"/>
      <c r="B34" s="79"/>
      <c r="C34" s="90" t="s">
        <v>50</v>
      </c>
      <c r="D34" s="102">
        <f>(((D29/'Defaults and Options'!C2)*'Defaults and Options'!C5*D27%)/'Defaults and Options'!C9)*'Defaults and Options'!$C$2</f>
        <v>0.24817623874235537</v>
      </c>
      <c r="E34" s="103"/>
      <c r="F34" s="93" t="s">
        <v>50</v>
      </c>
      <c r="G34" s="104">
        <f>(((G29/'Defaults and Options'!C2)*'Defaults and Options'!C5*G27%)/'Defaults and Options'!C9)*'Defaults and Options'!$C$2</f>
        <v>0.12408811937117768</v>
      </c>
      <c r="H34" s="78"/>
      <c r="I34" s="88" t="s">
        <v>45</v>
      </c>
      <c r="J34" s="89">
        <f>G44</f>
        <v>269.37903390233782</v>
      </c>
      <c r="K34" s="86"/>
      <c r="L34" s="78"/>
    </row>
    <row r="35" spans="1:12" s="87" customFormat="1" ht="34" customHeight="1">
      <c r="A35" s="78"/>
      <c r="B35" s="79"/>
      <c r="C35" s="90" t="s">
        <v>51</v>
      </c>
      <c r="D35" s="105">
        <f>D34*D16*'Defaults and Options'!C11</f>
        <v>1146.5742229896819</v>
      </c>
      <c r="E35" s="106"/>
      <c r="F35" s="93" t="s">
        <v>51</v>
      </c>
      <c r="G35" s="107">
        <f>G34*D16*'Defaults and Options'!C11</f>
        <v>573.28711149484093</v>
      </c>
      <c r="H35" s="78"/>
      <c r="I35" s="78"/>
      <c r="J35" s="78"/>
      <c r="K35" s="86"/>
      <c r="L35" s="78"/>
    </row>
    <row r="36" spans="1:12" s="87" customFormat="1" ht="34" customHeight="1">
      <c r="A36" s="78"/>
      <c r="B36" s="79"/>
      <c r="C36" s="108" t="s">
        <v>52</v>
      </c>
      <c r="D36" s="109" t="s">
        <v>53</v>
      </c>
      <c r="E36" s="106"/>
      <c r="F36" s="93" t="s">
        <v>54</v>
      </c>
      <c r="G36" s="110">
        <f>(G29*D16*IF(J15&lt;0,'Defaults and Options'!C14,0)*'Defaults and Options'!C15)</f>
        <v>20.592000000000002</v>
      </c>
      <c r="H36" s="78"/>
      <c r="I36" s="78"/>
      <c r="J36" s="78"/>
      <c r="K36" s="86"/>
      <c r="L36" s="78"/>
    </row>
    <row r="37" spans="1:12" s="87" customFormat="1" ht="34" customHeight="1">
      <c r="A37" s="78"/>
      <c r="B37" s="79"/>
      <c r="C37" s="111" t="s">
        <v>55</v>
      </c>
      <c r="D37" s="109" t="s">
        <v>53</v>
      </c>
      <c r="E37" s="106"/>
      <c r="F37" s="93" t="s">
        <v>56</v>
      </c>
      <c r="G37" s="112">
        <f>SUM(G35:G36)</f>
        <v>593.87911149484091</v>
      </c>
      <c r="H37" s="78"/>
      <c r="I37" s="78"/>
      <c r="J37" s="78"/>
      <c r="K37" s="86"/>
      <c r="L37" s="78"/>
    </row>
    <row r="38" spans="1:12" s="87" customFormat="1" ht="34" customHeight="1">
      <c r="A38" s="78"/>
      <c r="B38" s="79"/>
      <c r="C38" s="113" t="s">
        <v>57</v>
      </c>
      <c r="D38" s="114" t="s">
        <v>53</v>
      </c>
      <c r="E38" s="78"/>
      <c r="F38" s="93" t="s">
        <v>57</v>
      </c>
      <c r="G38" s="115">
        <f>D35-G35-G36</f>
        <v>552.69511149484094</v>
      </c>
      <c r="H38" s="78"/>
      <c r="K38" s="86"/>
      <c r="L38" s="78"/>
    </row>
    <row r="39" spans="1:12" s="87" customFormat="1" ht="34" hidden="1" customHeight="1">
      <c r="A39" s="78"/>
      <c r="B39" s="79"/>
      <c r="C39" s="90" t="s">
        <v>58</v>
      </c>
      <c r="D39" s="97">
        <f>D35/(D16*G16)</f>
        <v>1.8780904553475541</v>
      </c>
      <c r="E39" s="98"/>
      <c r="F39" s="93" t="s">
        <v>59</v>
      </c>
      <c r="G39" s="99">
        <f>(G37)/(D16*G31)</f>
        <v>0.97277495740350683</v>
      </c>
      <c r="H39" s="78"/>
      <c r="K39" s="86"/>
      <c r="L39" s="78"/>
    </row>
    <row r="40" spans="1:12" s="87" customFormat="1" ht="34" customHeight="1">
      <c r="A40" s="78"/>
      <c r="B40" s="79"/>
      <c r="C40" s="179" t="s">
        <v>60</v>
      </c>
      <c r="D40" s="179"/>
      <c r="E40" s="116"/>
      <c r="F40" s="180" t="s">
        <v>60</v>
      </c>
      <c r="G40" s="180"/>
      <c r="H40" s="78"/>
      <c r="I40" s="78"/>
      <c r="J40" s="78"/>
      <c r="K40" s="86"/>
      <c r="L40" s="78"/>
    </row>
    <row r="41" spans="1:12" s="87" customFormat="1" ht="34" customHeight="1">
      <c r="A41" s="78"/>
      <c r="B41" s="79"/>
      <c r="C41" s="90" t="s">
        <v>61</v>
      </c>
      <c r="D41" s="117">
        <f>(((D29/'Defaults and Options'!C2)*'Defaults and Options'!C5*D27%)/'Defaults and Options'!C9)*'Defaults and Options'!C6</f>
        <v>112.57084840323165</v>
      </c>
      <c r="E41" s="118"/>
      <c r="F41" s="93" t="s">
        <v>62</v>
      </c>
      <c r="G41" s="99">
        <f>(((G29/'Defaults and Options'!C2)*'Defaults and Options'!C5*G27%)/'Defaults and Options'!C9)*'Defaults and Options'!C6</f>
        <v>56.285424201615825</v>
      </c>
      <c r="H41" s="78"/>
      <c r="I41" s="78"/>
      <c r="J41" s="78"/>
      <c r="K41" s="86"/>
      <c r="L41" s="78"/>
    </row>
    <row r="42" spans="1:12" s="87" customFormat="1" ht="34" customHeight="1">
      <c r="A42" s="78"/>
      <c r="B42" s="79"/>
      <c r="C42" s="90" t="s">
        <v>63</v>
      </c>
      <c r="D42" s="109">
        <f>((D41*D16*'Defaults and Options'!C11)/'Defaults and Options'!C6)</f>
        <v>520.0773196229303</v>
      </c>
      <c r="E42" s="119"/>
      <c r="F42" s="93" t="s">
        <v>64</v>
      </c>
      <c r="G42" s="107">
        <f>(G41/'Defaults and Options'!C6)*D16*'Defaults and Options'!C11</f>
        <v>260.0386598114651</v>
      </c>
      <c r="H42" s="78"/>
      <c r="I42" s="78"/>
      <c r="J42" s="78"/>
      <c r="K42" s="86"/>
      <c r="L42" s="78"/>
    </row>
    <row r="43" spans="1:12" s="87" customFormat="1" ht="34" customHeight="1">
      <c r="A43" s="78"/>
      <c r="B43" s="79"/>
      <c r="C43" s="90" t="s">
        <v>65</v>
      </c>
      <c r="D43" s="109" t="s">
        <v>53</v>
      </c>
      <c r="E43" s="119"/>
      <c r="F43" s="93" t="s">
        <v>66</v>
      </c>
      <c r="G43" s="120">
        <f>(G29*D16*IF(J15&lt;0,'Defaults and Options'!C15,0)*'Defaults and Options'!C14)/'Defaults and Options'!C2</f>
        <v>9.3403740908727517</v>
      </c>
      <c r="H43" s="78"/>
      <c r="I43" s="78"/>
      <c r="J43" s="78"/>
      <c r="K43" s="86"/>
      <c r="L43" s="78"/>
    </row>
    <row r="44" spans="1:12" s="87" customFormat="1" ht="34" customHeight="1">
      <c r="A44" s="78"/>
      <c r="B44" s="79"/>
      <c r="C44" s="121" t="s">
        <v>67</v>
      </c>
      <c r="D44" s="122">
        <f>D42</f>
        <v>520.0773196229303</v>
      </c>
      <c r="E44" s="78"/>
      <c r="F44" s="93" t="s">
        <v>68</v>
      </c>
      <c r="G44" s="112">
        <f>SUM(G42:G43)</f>
        <v>269.37903390233782</v>
      </c>
      <c r="H44" s="78"/>
      <c r="I44" s="78"/>
      <c r="J44" s="78"/>
      <c r="K44" s="86"/>
      <c r="L44" s="78"/>
    </row>
    <row r="45" spans="1:12" s="87" customFormat="1" ht="34" customHeight="1">
      <c r="A45" s="78"/>
      <c r="B45" s="79"/>
      <c r="C45" s="113" t="s">
        <v>57</v>
      </c>
      <c r="D45" s="109" t="s">
        <v>53</v>
      </c>
      <c r="E45" s="123"/>
      <c r="F45" s="93" t="s">
        <v>69</v>
      </c>
      <c r="G45" s="115">
        <f>D42-G44</f>
        <v>250.69828572059248</v>
      </c>
      <c r="H45" s="78"/>
      <c r="I45" s="78"/>
      <c r="J45" s="78"/>
      <c r="K45" s="86"/>
      <c r="L45" s="78"/>
    </row>
    <row r="46" spans="1:12" s="87" customFormat="1" ht="34" customHeight="1">
      <c r="A46" s="78"/>
      <c r="B46" s="79"/>
      <c r="C46" s="124" t="s">
        <v>70</v>
      </c>
      <c r="D46" s="125" t="s">
        <v>53</v>
      </c>
      <c r="E46" s="126"/>
      <c r="F46" s="93" t="s">
        <v>70</v>
      </c>
      <c r="G46" s="127">
        <f>G45/1000</f>
        <v>0.2506982857205925</v>
      </c>
      <c r="H46" s="78"/>
      <c r="I46" s="78"/>
      <c r="J46" s="78"/>
      <c r="K46" s="86"/>
      <c r="L46" s="78"/>
    </row>
    <row r="47" spans="1:12" s="87" customFormat="1" ht="34" customHeight="1">
      <c r="A47" s="78"/>
      <c r="B47" s="79"/>
      <c r="C47" s="181" t="s">
        <v>71</v>
      </c>
      <c r="D47" s="181"/>
      <c r="E47" s="128"/>
      <c r="F47" s="182" t="s">
        <v>71</v>
      </c>
      <c r="G47" s="182"/>
      <c r="H47" s="78"/>
      <c r="I47" s="88" t="s">
        <v>43</v>
      </c>
      <c r="J47" s="89">
        <f>D50</f>
        <v>19.210000000000036</v>
      </c>
      <c r="K47" s="86"/>
      <c r="L47" s="78"/>
    </row>
    <row r="48" spans="1:12" s="87" customFormat="1" ht="34" customHeight="1">
      <c r="A48" s="78"/>
      <c r="B48" s="79"/>
      <c r="C48" s="113" t="s">
        <v>72</v>
      </c>
      <c r="D48" s="129">
        <f>((D15*D16)/2000)*G18</f>
        <v>554.4</v>
      </c>
      <c r="E48" s="130"/>
      <c r="F48" s="131" t="s">
        <v>73</v>
      </c>
      <c r="G48" s="132">
        <f>((G29*D16)/'Defaults and Options'!C8)*G18+(D16*J18)</f>
        <v>579.15</v>
      </c>
      <c r="H48" s="78"/>
      <c r="I48" s="88" t="s">
        <v>45</v>
      </c>
      <c r="J48" s="89">
        <f>G52</f>
        <v>19.210000000000036</v>
      </c>
      <c r="K48" s="86"/>
      <c r="L48" s="78"/>
    </row>
    <row r="49" spans="1:12" s="87" customFormat="1" ht="34" customHeight="1">
      <c r="A49" s="78"/>
      <c r="B49" s="133"/>
      <c r="C49" s="113" t="s">
        <v>74</v>
      </c>
      <c r="D49" s="134">
        <f>D48/(D16*G16)</f>
        <v>0.90810810810810805</v>
      </c>
      <c r="E49" s="103"/>
      <c r="F49" s="93" t="s">
        <v>74</v>
      </c>
      <c r="G49" s="135">
        <f>G48/(D16*G16*(1+J16))</f>
        <v>0.94864864864864862</v>
      </c>
      <c r="H49" s="78"/>
      <c r="K49" s="86"/>
      <c r="L49" s="78"/>
    </row>
    <row r="50" spans="1:12" s="87" customFormat="1" ht="34" customHeight="1">
      <c r="A50" s="78"/>
      <c r="B50" s="133"/>
      <c r="C50" s="113" t="s">
        <v>75</v>
      </c>
      <c r="D50" s="134">
        <f>((D30/'Defaults and Options'!C7)*G20)-((G19*(G15/'Defaults and Options'!C7))+G21+(G22*D16)+((D15*D16)/'Defaults and Options'!C8)*G18)</f>
        <v>19.210000000000036</v>
      </c>
      <c r="E50" s="136"/>
      <c r="F50" s="93" t="s">
        <v>76</v>
      </c>
      <c r="G50" s="137">
        <f>((G30/'Defaults and Options'!C7)*G20)-(G48+((G19*(G15/'Defaults and Options'!C7)+(G22*D16)+G21)))</f>
        <v>-5.5399999999999636</v>
      </c>
      <c r="H50" s="78"/>
      <c r="I50" s="78"/>
      <c r="J50" s="78"/>
      <c r="K50" s="86"/>
      <c r="L50" s="78"/>
    </row>
    <row r="51" spans="1:12" s="87" customFormat="1" ht="34" customHeight="1">
      <c r="A51" s="78"/>
      <c r="B51" s="133"/>
      <c r="C51" s="113" t="s">
        <v>77</v>
      </c>
      <c r="D51" s="117" t="s">
        <v>53</v>
      </c>
      <c r="E51" s="136"/>
      <c r="F51" s="93" t="s">
        <v>77</v>
      </c>
      <c r="G51" s="137">
        <f>(G45/'Defaults and Options'!C6)*J19</f>
        <v>24.75</v>
      </c>
      <c r="H51" s="78"/>
      <c r="I51" s="78"/>
      <c r="J51" s="78"/>
      <c r="K51" s="86"/>
      <c r="L51" s="78"/>
    </row>
    <row r="52" spans="1:12" s="87" customFormat="1" ht="34" customHeight="1">
      <c r="A52" s="78"/>
      <c r="B52" s="133"/>
      <c r="C52" s="113" t="s">
        <v>78</v>
      </c>
      <c r="D52" s="117" t="s">
        <v>53</v>
      </c>
      <c r="E52" s="136"/>
      <c r="F52" s="93" t="s">
        <v>78</v>
      </c>
      <c r="G52" s="137">
        <f>G50+G51</f>
        <v>19.210000000000036</v>
      </c>
      <c r="H52" s="78"/>
      <c r="I52" s="78"/>
      <c r="J52" s="78"/>
      <c r="K52" s="86"/>
      <c r="L52" s="78"/>
    </row>
    <row r="53" spans="1:12" s="87" customFormat="1" ht="34" customHeight="1">
      <c r="A53" s="78"/>
      <c r="B53" s="133"/>
      <c r="C53" s="138"/>
      <c r="D53" s="139"/>
      <c r="E53" s="136"/>
      <c r="F53" s="82"/>
      <c r="G53" s="82"/>
      <c r="H53" s="78"/>
      <c r="I53" s="78"/>
      <c r="J53" s="78"/>
      <c r="K53" s="86"/>
      <c r="L53" s="78"/>
    </row>
    <row r="54" spans="1:12" ht="21" customHeight="1">
      <c r="A54" s="16"/>
      <c r="B54" s="37"/>
      <c r="C54" s="172" t="s">
        <v>79</v>
      </c>
      <c r="D54" s="173"/>
      <c r="E54" s="173"/>
      <c r="F54" s="173"/>
      <c r="G54" s="184">
        <f>G52-D50</f>
        <v>0</v>
      </c>
      <c r="H54" s="16"/>
      <c r="I54" s="16"/>
      <c r="J54" s="16"/>
      <c r="K54" s="43"/>
      <c r="L54" s="16"/>
    </row>
    <row r="55" spans="1:12" ht="21" customHeight="1">
      <c r="A55" s="16"/>
      <c r="B55" s="37"/>
      <c r="C55" s="157" t="s">
        <v>80</v>
      </c>
      <c r="D55" s="158"/>
      <c r="E55" s="158"/>
      <c r="F55" s="158"/>
      <c r="G55" s="184"/>
      <c r="H55" s="140"/>
      <c r="I55" s="57"/>
      <c r="J55" s="57"/>
      <c r="K55" s="43"/>
      <c r="L55" s="16"/>
    </row>
    <row r="56" spans="1:12" ht="15" customHeight="1" thickBot="1">
      <c r="A56" s="16"/>
      <c r="B56" s="141"/>
      <c r="C56" s="71"/>
      <c r="D56" s="71"/>
      <c r="E56" s="71"/>
      <c r="F56" s="71"/>
      <c r="G56" s="71"/>
      <c r="H56" s="71"/>
      <c r="I56" s="71"/>
      <c r="J56" s="142"/>
      <c r="K56" s="143"/>
      <c r="L56" s="16"/>
    </row>
    <row r="57" spans="1:12" ht="14.25" customHeight="1">
      <c r="A57" s="16"/>
      <c r="B57" s="16"/>
      <c r="C57" s="16"/>
      <c r="D57" s="16"/>
      <c r="E57" s="144"/>
      <c r="F57" s="16"/>
      <c r="G57" s="16"/>
      <c r="H57" s="16"/>
      <c r="I57" s="16"/>
      <c r="J57" s="16"/>
      <c r="K57" s="16"/>
      <c r="L57" s="16"/>
    </row>
    <row r="65" s="17" customFormat="1"/>
    <row r="66" s="17" customFormat="1" hidden="1"/>
    <row r="67" s="17" customFormat="1" hidden="1"/>
    <row r="68" s="17" customFormat="1" hidden="1"/>
    <row r="69" s="17" customFormat="1" hidden="1"/>
    <row r="70" s="17" customFormat="1" hidden="1"/>
    <row r="71" s="17" customFormat="1" hidden="1"/>
  </sheetData>
  <sheetProtection algorithmName="SHA-512" hashValue="W4MaFyW7lk8jHWlV9KMj+d35SmZZuMETgw7tjHpqAdnKubYofkqoWhrY4X1JNkI/KFEe50Yoz4qEO2h03bbJNA==" saltValue="1WgRRGeos5+rh8Ko8EbJ9g==" spinCount="100000" sheet="1" objects="1" scenarios="1" selectLockedCells="1"/>
  <mergeCells count="23">
    <mergeCell ref="B2:K2"/>
    <mergeCell ref="B5:K5"/>
    <mergeCell ref="B3:K3"/>
    <mergeCell ref="B4:K4"/>
    <mergeCell ref="C54:F54"/>
    <mergeCell ref="D8:F8"/>
    <mergeCell ref="D9:F9"/>
    <mergeCell ref="D10:F10"/>
    <mergeCell ref="H8:J10"/>
    <mergeCell ref="C26:D26"/>
    <mergeCell ref="F26:G26"/>
    <mergeCell ref="C28:D28"/>
    <mergeCell ref="C40:D40"/>
    <mergeCell ref="F40:G40"/>
    <mergeCell ref="C47:D47"/>
    <mergeCell ref="F47:G47"/>
    <mergeCell ref="F28:G28"/>
    <mergeCell ref="C33:D33"/>
    <mergeCell ref="C13:K13"/>
    <mergeCell ref="C25:J25"/>
    <mergeCell ref="C55:F55"/>
    <mergeCell ref="G54:G55"/>
    <mergeCell ref="F33:G33"/>
  </mergeCells>
  <conditionalFormatting sqref="G54:G55">
    <cfRule type="cellIs" dxfId="1" priority="1" operator="greaterThan">
      <formula>0</formula>
    </cfRule>
    <cfRule type="cellIs" dxfId="0" priority="2" operator="lessThan">
      <formula>0</formula>
    </cfRule>
  </conditionalFormatting>
  <hyperlinks>
    <hyperlink ref="J22" r:id="rId1" xr:uid="{1C2DB36B-BA4C-4D2A-BAF6-C7E13613EB82}"/>
    <hyperlink ref="J21" r:id="rId2" xr:uid="{FD011A41-E149-42E9-A5E7-34378A3F0E79}"/>
  </hyperlinks>
  <pageMargins left="0.7" right="0.7" top="0.75" bottom="0.75" header="0.3" footer="0.3"/>
  <pageSetup scale="39" fitToHeight="0" orientation="portrait" r:id="rId3"/>
  <headerFooter>
    <oddFooter xml:space="preserve">&amp;LFeedlot enteric methane simple economics calculator_v3.1.xlsx&amp;C&amp;P of &amp;N&amp;RGenerated on &amp;D at &amp;T
</oddFooter>
  </headerFooter>
  <ignoredErrors>
    <ignoredError sqref="C25:J52 G54" unlockedFormula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1074A40-D5AA-4CAA-8FAF-11664D8B331F}">
          <x14:formula1>
            <xm:f>'Defaults and Options'!$B$17:$B$18</xm:f>
          </x14:formula1>
          <xm:sqref>D17</xm:sqref>
        </x14:dataValidation>
        <x14:dataValidation type="list" allowBlank="1" showInputMessage="1" showErrorMessage="1" xr:uid="{6FC39E1F-509E-4A71-9201-A13B0DB55D3A}">
          <x14:formula1>
            <xm:f>'Defaults and Options'!$B$21:$B$24</xm:f>
          </x14:formula1>
          <xm:sqref>D18</xm:sqref>
        </x14:dataValidation>
        <x14:dataValidation type="list" allowBlank="1" showInputMessage="1" showErrorMessage="1" xr:uid="{88B8EBD1-5447-4C23-9DA7-08F936CC5E80}">
          <x14:formula1>
            <xm:f>'Defaults and Options'!$B$41:$B$49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71CD-E3CF-4CA4-9B7C-DEAD1236F6BC}">
  <sheetPr codeName="Sheet3"/>
  <dimension ref="A1:O67"/>
  <sheetViews>
    <sheetView workbookViewId="0">
      <selection activeCell="E29" sqref="E29"/>
    </sheetView>
  </sheetViews>
  <sheetFormatPr baseColWidth="10" defaultColWidth="9" defaultRowHeight="14"/>
  <cols>
    <col min="1" max="1" width="12.1640625" style="1" customWidth="1"/>
    <col min="2" max="2" width="40.1640625" style="1" customWidth="1"/>
    <col min="3" max="3" width="23" style="1" customWidth="1"/>
    <col min="4" max="4" width="15.5" style="1" customWidth="1"/>
    <col min="5" max="5" width="12.1640625" style="1" customWidth="1"/>
    <col min="6" max="8" width="11" style="1" customWidth="1"/>
    <col min="9" max="9" width="18.33203125" style="1" customWidth="1"/>
    <col min="10" max="11" width="17.1640625" style="1" customWidth="1"/>
    <col min="12" max="16384" width="9" style="1"/>
  </cols>
  <sheetData>
    <row r="1" spans="1:3" ht="15" thickBot="1">
      <c r="A1" s="6" t="s">
        <v>81</v>
      </c>
      <c r="B1" s="7"/>
      <c r="C1" s="6"/>
    </row>
    <row r="2" spans="1:3">
      <c r="A2" s="1" t="s">
        <v>82</v>
      </c>
      <c r="B2" s="1" t="s">
        <v>83</v>
      </c>
      <c r="C2" s="9">
        <v>2.2046226199999999</v>
      </c>
    </row>
    <row r="3" spans="1:3">
      <c r="B3" s="1" t="s">
        <v>84</v>
      </c>
      <c r="C3" s="1">
        <v>4.1840000000000002</v>
      </c>
    </row>
    <row r="4" spans="1:3">
      <c r="B4" s="1" t="s">
        <v>85</v>
      </c>
      <c r="C4" s="1">
        <v>3</v>
      </c>
    </row>
    <row r="5" spans="1:3">
      <c r="B5" s="1" t="s">
        <v>86</v>
      </c>
      <c r="C5" s="1">
        <v>18.45</v>
      </c>
    </row>
    <row r="6" spans="1:3">
      <c r="B6" s="1" t="s">
        <v>87</v>
      </c>
      <c r="C6" s="1">
        <v>1000</v>
      </c>
    </row>
    <row r="7" spans="1:3">
      <c r="B7" s="1" t="s">
        <v>88</v>
      </c>
      <c r="C7" s="1">
        <v>100</v>
      </c>
    </row>
    <row r="8" spans="1:3">
      <c r="B8" s="1" t="s">
        <v>89</v>
      </c>
      <c r="C8" s="1">
        <v>2000</v>
      </c>
    </row>
    <row r="9" spans="1:3">
      <c r="B9" s="1" t="s">
        <v>90</v>
      </c>
      <c r="C9" s="1">
        <v>55.65</v>
      </c>
    </row>
    <row r="11" spans="1:3">
      <c r="A11" s="1" t="s">
        <v>91</v>
      </c>
      <c r="B11" s="1" t="s">
        <v>92</v>
      </c>
      <c r="C11" s="1">
        <v>28</v>
      </c>
    </row>
    <row r="13" spans="1:3">
      <c r="A13" s="3" t="s">
        <v>45</v>
      </c>
      <c r="B13" s="3" t="s">
        <v>93</v>
      </c>
      <c r="C13" s="3"/>
    </row>
    <row r="14" spans="1:3">
      <c r="B14" s="1" t="s">
        <v>94</v>
      </c>
      <c r="C14" s="1">
        <v>1E-4</v>
      </c>
    </row>
    <row r="15" spans="1:3">
      <c r="B15" s="1" t="s">
        <v>95</v>
      </c>
      <c r="C15" s="1">
        <v>52</v>
      </c>
    </row>
    <row r="16" spans="1:3">
      <c r="A16" s="3" t="s">
        <v>96</v>
      </c>
      <c r="B16" s="11"/>
      <c r="C16" s="3"/>
    </row>
    <row r="17" spans="1:8">
      <c r="B17" s="1" t="s">
        <v>17</v>
      </c>
      <c r="C17" s="1">
        <v>1</v>
      </c>
    </row>
    <row r="18" spans="1:8">
      <c r="B18" s="1" t="s">
        <v>97</v>
      </c>
      <c r="C18" s="1">
        <v>1.1000000000000001</v>
      </c>
    </row>
    <row r="20" spans="1:8">
      <c r="A20" s="3" t="s">
        <v>98</v>
      </c>
      <c r="B20" s="3"/>
      <c r="C20" s="3"/>
      <c r="F20" s="10"/>
      <c r="G20" s="10"/>
      <c r="H20" s="10"/>
    </row>
    <row r="21" spans="1:8">
      <c r="B21" s="1" t="s">
        <v>21</v>
      </c>
      <c r="C21" s="1">
        <v>1.1200000000000001</v>
      </c>
      <c r="F21" s="10"/>
      <c r="G21" s="10"/>
      <c r="H21" s="10"/>
    </row>
    <row r="22" spans="1:8">
      <c r="B22" s="1" t="s">
        <v>99</v>
      </c>
      <c r="C22" s="1">
        <v>1.08</v>
      </c>
      <c r="F22" s="10"/>
      <c r="G22" s="10"/>
      <c r="H22" s="10"/>
    </row>
    <row r="23" spans="1:8">
      <c r="B23" s="1" t="s">
        <v>100</v>
      </c>
      <c r="C23" s="1">
        <v>1.04</v>
      </c>
    </row>
    <row r="24" spans="1:8">
      <c r="B24" s="1" t="s">
        <v>101</v>
      </c>
      <c r="C24" s="1">
        <v>1</v>
      </c>
    </row>
    <row r="26" spans="1:8">
      <c r="A26" s="3" t="s">
        <v>102</v>
      </c>
      <c r="B26" s="3"/>
      <c r="C26" s="3"/>
    </row>
    <row r="27" spans="1:8">
      <c r="B27" s="1" t="s">
        <v>103</v>
      </c>
      <c r="C27" s="12">
        <v>4.5140000000000002</v>
      </c>
    </row>
    <row r="28" spans="1:8">
      <c r="B28" s="1" t="s">
        <v>104</v>
      </c>
      <c r="C28" s="12">
        <v>0.45300000000000001</v>
      </c>
    </row>
    <row r="29" spans="1:8">
      <c r="C29" s="12"/>
    </row>
    <row r="30" spans="1:8">
      <c r="A30" s="3" t="s">
        <v>105</v>
      </c>
      <c r="B30" s="3"/>
      <c r="C30" s="3"/>
    </row>
    <row r="31" spans="1:8">
      <c r="B31" s="10" t="s">
        <v>106</v>
      </c>
      <c r="C31" s="13">
        <f>G41</f>
        <v>28.487099999999995</v>
      </c>
    </row>
    <row r="32" spans="1:8">
      <c r="B32" s="10" t="s">
        <v>107</v>
      </c>
      <c r="C32" s="13">
        <f>H41</f>
        <v>41.991899999999987</v>
      </c>
      <c r="E32" s="14"/>
    </row>
    <row r="33" spans="1:15">
      <c r="B33" s="10" t="s">
        <v>108</v>
      </c>
      <c r="C33" s="10">
        <v>7.5</v>
      </c>
    </row>
    <row r="35" spans="1:15">
      <c r="A35" s="5" t="s">
        <v>109</v>
      </c>
      <c r="B35" s="5"/>
      <c r="C35" s="5"/>
      <c r="D35" s="5"/>
      <c r="E35" s="5"/>
      <c r="F35" s="5"/>
      <c r="G35" s="5"/>
      <c r="H35" s="5"/>
    </row>
    <row r="36" spans="1:15">
      <c r="B36" s="1" t="s">
        <v>110</v>
      </c>
      <c r="C36" s="10" t="s">
        <v>111</v>
      </c>
      <c r="D36" s="10" t="s">
        <v>112</v>
      </c>
      <c r="E36" s="10" t="s">
        <v>113</v>
      </c>
      <c r="F36" s="10" t="s">
        <v>114</v>
      </c>
      <c r="G36" s="10" t="s">
        <v>115</v>
      </c>
      <c r="H36" s="10" t="s">
        <v>116</v>
      </c>
    </row>
    <row r="37" spans="1:15" ht="14.25" customHeight="1">
      <c r="B37" s="10" t="s">
        <v>117</v>
      </c>
      <c r="C37" s="10">
        <v>2.97</v>
      </c>
      <c r="D37" s="10">
        <v>41.73</v>
      </c>
      <c r="F37" s="10">
        <v>0.01</v>
      </c>
      <c r="G37" s="10">
        <v>2.9700000000000001E-2</v>
      </c>
      <c r="H37" s="10">
        <v>0.4173</v>
      </c>
      <c r="J37" s="183" t="s">
        <v>118</v>
      </c>
      <c r="K37" s="183"/>
      <c r="L37" s="183"/>
      <c r="M37" s="183"/>
      <c r="N37" s="183"/>
      <c r="O37" s="183"/>
    </row>
    <row r="38" spans="1:15" ht="14.25" customHeight="1">
      <c r="B38" s="10" t="s">
        <v>119</v>
      </c>
      <c r="C38" s="10">
        <v>32.58</v>
      </c>
      <c r="D38" s="10">
        <v>42.98</v>
      </c>
      <c r="F38" s="10">
        <v>0.85</v>
      </c>
      <c r="G38" s="10">
        <v>27.692999999999998</v>
      </c>
      <c r="H38" s="10">
        <v>36.532999999999994</v>
      </c>
      <c r="J38" s="183"/>
      <c r="K38" s="183"/>
      <c r="L38" s="183"/>
      <c r="M38" s="183"/>
      <c r="N38" s="183"/>
      <c r="O38" s="183"/>
    </row>
    <row r="39" spans="1:15">
      <c r="B39" s="10" t="s">
        <v>120</v>
      </c>
      <c r="C39" s="10">
        <v>0</v>
      </c>
      <c r="D39" s="10">
        <v>66.58</v>
      </c>
      <c r="F39" s="10">
        <v>0.01</v>
      </c>
      <c r="G39" s="10">
        <v>0</v>
      </c>
      <c r="H39" s="10">
        <v>0.66579999999999995</v>
      </c>
      <c r="J39" s="183"/>
      <c r="K39" s="183"/>
      <c r="L39" s="183"/>
      <c r="M39" s="183"/>
      <c r="N39" s="183"/>
      <c r="O39" s="183"/>
    </row>
    <row r="40" spans="1:15">
      <c r="B40" s="10" t="s">
        <v>121</v>
      </c>
      <c r="C40" s="10">
        <v>5.88</v>
      </c>
      <c r="D40" s="10">
        <v>33.659999999999997</v>
      </c>
      <c r="F40" s="10">
        <v>0.13</v>
      </c>
      <c r="G40" s="10">
        <v>0.76439999999999997</v>
      </c>
      <c r="H40" s="10">
        <v>4.3757999999999999</v>
      </c>
      <c r="J40" s="183"/>
      <c r="K40" s="183"/>
      <c r="L40" s="183"/>
      <c r="M40" s="183"/>
      <c r="N40" s="183"/>
      <c r="O40" s="183"/>
    </row>
    <row r="41" spans="1:15">
      <c r="B41" s="10" t="s">
        <v>25</v>
      </c>
      <c r="C41" s="10">
        <v>72.069999999999993</v>
      </c>
      <c r="D41" s="10">
        <v>9.7200000000000006</v>
      </c>
      <c r="E41" s="1">
        <v>1.2</v>
      </c>
      <c r="F41" s="8" t="s">
        <v>122</v>
      </c>
      <c r="G41" s="2">
        <f>SUM(G37:G40)</f>
        <v>28.487099999999995</v>
      </c>
      <c r="H41" s="2">
        <f>SUM(H37:H40)</f>
        <v>41.991899999999987</v>
      </c>
      <c r="J41" s="183"/>
      <c r="K41" s="183"/>
      <c r="L41" s="183"/>
      <c r="M41" s="183"/>
      <c r="N41" s="183"/>
      <c r="O41" s="183"/>
    </row>
    <row r="42" spans="1:15">
      <c r="B42" s="10" t="s">
        <v>123</v>
      </c>
      <c r="C42" s="10">
        <v>71.3</v>
      </c>
      <c r="D42" s="10">
        <v>9.86</v>
      </c>
      <c r="E42" s="1">
        <v>1</v>
      </c>
    </row>
    <row r="43" spans="1:15">
      <c r="B43" s="10" t="s">
        <v>124</v>
      </c>
      <c r="C43" s="10">
        <v>76.239999999999995</v>
      </c>
      <c r="D43" s="10">
        <v>8.9700000000000006</v>
      </c>
      <c r="E43" s="1">
        <v>1</v>
      </c>
    </row>
    <row r="44" spans="1:15">
      <c r="B44" s="10" t="s">
        <v>125</v>
      </c>
      <c r="C44" s="10">
        <v>62.42</v>
      </c>
      <c r="D44" s="10">
        <v>12.36</v>
      </c>
      <c r="E44" s="1">
        <v>1.2</v>
      </c>
    </row>
    <row r="45" spans="1:15">
      <c r="B45" s="10" t="s">
        <v>126</v>
      </c>
      <c r="C45" s="10">
        <v>64.87</v>
      </c>
      <c r="D45" s="10">
        <v>13.55</v>
      </c>
      <c r="E45" s="1">
        <v>1</v>
      </c>
    </row>
    <row r="46" spans="1:15">
      <c r="B46" s="10" t="s">
        <v>127</v>
      </c>
      <c r="C46" s="10">
        <v>56.74</v>
      </c>
      <c r="D46" s="10">
        <v>18.29</v>
      </c>
      <c r="E46" s="1">
        <v>1</v>
      </c>
    </row>
    <row r="47" spans="1:15">
      <c r="B47" s="10" t="s">
        <v>128</v>
      </c>
      <c r="C47" s="10">
        <v>59.27</v>
      </c>
      <c r="D47" s="10">
        <v>26.3</v>
      </c>
      <c r="E47" s="1">
        <v>1</v>
      </c>
    </row>
    <row r="48" spans="1:15">
      <c r="B48" s="1" t="s">
        <v>129</v>
      </c>
      <c r="C48" s="1">
        <v>75.19</v>
      </c>
      <c r="D48" s="10">
        <v>9.6999999999999993</v>
      </c>
      <c r="E48" s="1">
        <v>1</v>
      </c>
      <c r="I48" s="10"/>
      <c r="J48" s="10"/>
    </row>
    <row r="49" spans="1:10">
      <c r="B49" s="1" t="s">
        <v>130</v>
      </c>
      <c r="C49" s="1">
        <v>71.16</v>
      </c>
      <c r="D49" s="1">
        <v>7.2</v>
      </c>
      <c r="E49" s="1">
        <v>1.2</v>
      </c>
      <c r="I49" s="10"/>
      <c r="J49" s="10"/>
    </row>
    <row r="50" spans="1:10">
      <c r="E50" s="10"/>
      <c r="F50" s="10"/>
      <c r="G50" s="10"/>
      <c r="H50" s="10"/>
      <c r="I50" s="10"/>
      <c r="J50" s="10"/>
    </row>
    <row r="51" spans="1:10">
      <c r="B51" s="10"/>
      <c r="C51" s="10"/>
      <c r="D51" s="10"/>
    </row>
    <row r="52" spans="1:10">
      <c r="A52" s="10"/>
      <c r="B52" s="10"/>
      <c r="C52" s="10"/>
      <c r="D52" s="10"/>
    </row>
    <row r="53" spans="1:10">
      <c r="A53" s="10"/>
      <c r="B53" s="10"/>
      <c r="C53" s="10"/>
      <c r="D53" s="10"/>
    </row>
    <row r="56" spans="1:10">
      <c r="B56" s="10"/>
      <c r="C56" s="10"/>
      <c r="D56" s="10"/>
    </row>
    <row r="57" spans="1:10">
      <c r="B57" s="10"/>
      <c r="C57" s="10"/>
      <c r="D57" s="10"/>
    </row>
    <row r="58" spans="1:10" ht="14.5" customHeight="1">
      <c r="B58" s="10"/>
      <c r="C58" s="10"/>
      <c r="D58" s="10"/>
    </row>
    <row r="60" spans="1:10">
      <c r="E60" s="4"/>
      <c r="F60" s="4"/>
      <c r="G60" s="4"/>
      <c r="H60" s="4"/>
    </row>
    <row r="61" spans="1:10">
      <c r="E61" s="4"/>
      <c r="F61" s="4"/>
      <c r="G61" s="4"/>
      <c r="H61" s="4"/>
    </row>
    <row r="62" spans="1:10">
      <c r="E62" s="4"/>
      <c r="F62" s="4"/>
      <c r="G62" s="4"/>
      <c r="H62" s="4"/>
    </row>
    <row r="63" spans="1:10" ht="14.25" customHeight="1">
      <c r="D63" s="4"/>
      <c r="E63" s="4"/>
      <c r="F63" s="4"/>
      <c r="G63" s="4"/>
      <c r="H63" s="4"/>
    </row>
    <row r="64" spans="1:10" ht="14.25" customHeight="1">
      <c r="D64" s="4"/>
      <c r="I64" s="15"/>
      <c r="J64" s="15"/>
    </row>
    <row r="65" spans="4:10">
      <c r="D65" s="4"/>
      <c r="H65" s="15"/>
      <c r="I65" s="15"/>
      <c r="J65" s="15"/>
    </row>
    <row r="66" spans="4:10">
      <c r="D66" s="4"/>
      <c r="H66" s="15"/>
      <c r="I66" s="15"/>
      <c r="J66" s="15"/>
    </row>
    <row r="67" spans="4:10">
      <c r="H67" s="15"/>
      <c r="I67" s="15"/>
      <c r="J67" s="15"/>
    </row>
  </sheetData>
  <sheetProtection algorithmName="SHA-512" hashValue="1LHgR473h/LeNHPMHPZnp9H/3bTjCOetMCe8jYXu4FxmrotQRjJhHwQ3jdEFEtnb2l+rk8doKssHENhj4WzD9g==" saltValue="EakajxevgarrcIwOW3HS9w==" spinCount="100000" sheet="1" objects="1" scenarios="1"/>
  <mergeCells count="1">
    <mergeCell ref="J37:O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Feedlot cattle enteric calc</vt:lpstr>
      <vt:lpstr>Defaults and Options</vt:lpstr>
      <vt:lpstr>'Feedlot cattle enteric calc'!Print_Area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Place</dc:creator>
  <cp:keywords/>
  <dc:description/>
  <cp:lastModifiedBy>Giesenhagen,Erica</cp:lastModifiedBy>
  <cp:revision/>
  <dcterms:created xsi:type="dcterms:W3CDTF">2022-08-29T16:11:20Z</dcterms:created>
  <dcterms:modified xsi:type="dcterms:W3CDTF">2024-05-31T19:51:10Z</dcterms:modified>
  <cp:category/>
  <cp:contentStatus/>
</cp:coreProperties>
</file>